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zongkhag Statistics 2023\5. Agriculture &amp; Livestock\"/>
    </mc:Choice>
  </mc:AlternateContent>
  <xr:revisionPtr revIDLastSave="0" documentId="13_ncr:1_{DD6F8A08-1A39-49EF-92A7-AF323D25F705}" xr6:coauthVersionLast="47" xr6:coauthVersionMax="47" xr10:uidLastSave="{00000000-0000-0000-0000-000000000000}"/>
  <bookViews>
    <workbookView xWindow="-110" yWindow="-110" windowWidth="19420" windowHeight="10560" activeTab="5" xr2:uid="{00000000-000D-0000-FFFF-FFFF00000000}"/>
  </bookViews>
  <sheets>
    <sheet name="Table 5.1" sheetId="1" r:id="rId1"/>
    <sheet name="Table 5.2" sheetId="2" r:id="rId2"/>
    <sheet name="Table 5.3" sheetId="3" r:id="rId3"/>
    <sheet name="Table 5.4" sheetId="4" r:id="rId4"/>
    <sheet name="Table 5.5" sheetId="5" r:id="rId5"/>
    <sheet name="Table 5.6" sheetId="6" r:id="rId6"/>
    <sheet name="Table 5.7" sheetId="7" r:id="rId7"/>
    <sheet name="Table 5.8" sheetId="8" r:id="rId8"/>
    <sheet name="Table 5.9" sheetId="9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H35" i="9"/>
  <c r="G38" i="8"/>
  <c r="G14" i="8"/>
  <c r="G34" i="8"/>
  <c r="G42" i="8"/>
  <c r="G26" i="8"/>
  <c r="G18" i="8"/>
  <c r="G22" i="8"/>
  <c r="H12" i="9"/>
  <c r="H45" i="9"/>
  <c r="G10" i="8"/>
  <c r="G30" i="8"/>
  <c r="G6" i="8"/>
  <c r="H18" i="9"/>
  <c r="H9" i="9"/>
  <c r="H6" i="9"/>
  <c r="H32" i="9"/>
  <c r="H15" i="9"/>
  <c r="H21" i="9"/>
  <c r="H39" i="9"/>
  <c r="H27" i="9"/>
  <c r="H24" i="9"/>
  <c r="H42" i="9"/>
  <c r="H11" i="3"/>
  <c r="H12" i="3"/>
  <c r="H10" i="3"/>
  <c r="H20" i="3"/>
  <c r="H21" i="3"/>
  <c r="H8" i="3"/>
  <c r="H9" i="3"/>
  <c r="H17" i="3"/>
  <c r="H18" i="3"/>
  <c r="H5" i="3"/>
  <c r="H6" i="3"/>
  <c r="H14" i="3"/>
  <c r="H15" i="3"/>
  <c r="G45" i="9"/>
  <c r="G42" i="9"/>
  <c r="G18" i="9"/>
  <c r="G6" i="9"/>
  <c r="G12" i="9"/>
  <c r="G9" i="9"/>
  <c r="G39" i="9"/>
  <c r="G32" i="9"/>
  <c r="G35" i="9"/>
  <c r="G15" i="9"/>
  <c r="G21" i="9"/>
  <c r="G27" i="9"/>
  <c r="G24" i="9"/>
  <c r="F34" i="8"/>
  <c r="F26" i="8"/>
  <c r="F42" i="8"/>
  <c r="F22" i="8"/>
  <c r="F18" i="8"/>
  <c r="F14" i="8"/>
  <c r="F10" i="8"/>
  <c r="F38" i="8"/>
  <c r="F30" i="8"/>
  <c r="F6" i="8"/>
  <c r="G11" i="3"/>
  <c r="G10" i="3"/>
  <c r="G17" i="3"/>
  <c r="G18" i="3"/>
  <c r="G20" i="3"/>
  <c r="G21" i="3"/>
  <c r="G8" i="3"/>
  <c r="G9" i="3"/>
  <c r="G5" i="3"/>
  <c r="G6" i="3"/>
  <c r="G14" i="3"/>
  <c r="G15" i="3"/>
  <c r="F45" i="9"/>
  <c r="F42" i="9"/>
  <c r="F18" i="9"/>
  <c r="F39" i="9"/>
  <c r="F32" i="9"/>
  <c r="F35" i="9"/>
  <c r="F15" i="9"/>
  <c r="F6" i="9"/>
  <c r="F12" i="9"/>
  <c r="F9" i="9"/>
  <c r="F21" i="9"/>
  <c r="F27" i="9"/>
  <c r="F24" i="9"/>
  <c r="E30" i="8"/>
  <c r="E38" i="8"/>
  <c r="E14" i="8"/>
  <c r="E10" i="8"/>
  <c r="E34" i="8"/>
  <c r="E42" i="8"/>
  <c r="E26" i="8"/>
  <c r="E18" i="8"/>
  <c r="E22" i="8"/>
  <c r="E6" i="8"/>
  <c r="F11" i="3"/>
  <c r="F10" i="3"/>
  <c r="F20" i="3"/>
  <c r="F21" i="3"/>
  <c r="F18" i="3"/>
  <c r="F17" i="3"/>
  <c r="F8" i="3"/>
  <c r="F9" i="3"/>
  <c r="F5" i="3"/>
  <c r="F6" i="3"/>
  <c r="F14" i="3"/>
  <c r="F15" i="3"/>
  <c r="G15" i="7"/>
  <c r="G14" i="7"/>
  <c r="G11" i="7"/>
  <c r="G10" i="7"/>
  <c r="G9" i="7"/>
  <c r="G6" i="7"/>
  <c r="G5" i="7"/>
  <c r="G4" i="7"/>
  <c r="E11" i="3"/>
  <c r="E10" i="3"/>
  <c r="E45" i="9"/>
  <c r="E42" i="9"/>
  <c r="E39" i="9"/>
  <c r="E35" i="9"/>
  <c r="E32" i="9"/>
  <c r="E27" i="9"/>
  <c r="E24" i="9"/>
  <c r="E21" i="9"/>
  <c r="E18" i="9"/>
  <c r="E15" i="9"/>
  <c r="E12" i="9"/>
  <c r="E9" i="9"/>
  <c r="E6" i="9"/>
  <c r="D42" i="8"/>
  <c r="D38" i="8"/>
  <c r="D34" i="8"/>
  <c r="D30" i="8"/>
  <c r="D26" i="8"/>
  <c r="D22" i="8"/>
  <c r="D18" i="8"/>
  <c r="D14" i="8"/>
  <c r="D10" i="8"/>
  <c r="D6" i="8"/>
  <c r="E20" i="3"/>
  <c r="E21" i="3"/>
  <c r="E17" i="3"/>
  <c r="E18" i="3"/>
  <c r="E8" i="3"/>
  <c r="E9" i="3"/>
  <c r="E5" i="3"/>
  <c r="E6" i="3"/>
  <c r="E14" i="3"/>
  <c r="E15" i="3"/>
  <c r="F15" i="5"/>
  <c r="E15" i="5"/>
  <c r="E11" i="5"/>
  <c r="F10" i="5"/>
  <c r="F9" i="5"/>
  <c r="F11" i="5"/>
  <c r="D7" i="1"/>
  <c r="F12" i="3"/>
  <c r="G12" i="3"/>
  <c r="E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C37606A3-38F9-4A7D-9274-A4B5ED140F18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12.2_x000D_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387E62B6-8624-42EB-90A0-CE0D9602CFD9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12.1_x000D_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E7B57C6F-8D7E-484C-82F8-8BC8E0ED209B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12.5_x000D_
</t>
        </r>
      </text>
    </comment>
  </commentList>
</comments>
</file>

<file path=xl/sharedStrings.xml><?xml version="1.0" encoding="utf-8"?>
<sst xmlns="http://schemas.openxmlformats.org/spreadsheetml/2006/main" count="627" uniqueCount="312">
  <si>
    <t>Table 5.1:  Agriculture Land Holdings by Type, Pema Gatshel</t>
  </si>
  <si>
    <t>(Hectares)</t>
  </si>
  <si>
    <t>Land holding</t>
  </si>
  <si>
    <t>Wet land</t>
  </si>
  <si>
    <t>Dry land</t>
  </si>
  <si>
    <t>Orchad</t>
  </si>
  <si>
    <t>Total area</t>
  </si>
  <si>
    <t>Source:  Agriculture Statistics 2017, MoAF, Thimphu</t>
  </si>
  <si>
    <t>Details</t>
  </si>
  <si>
    <t>2015/16</t>
  </si>
  <si>
    <t>2016/17</t>
  </si>
  <si>
    <t>2017/18</t>
  </si>
  <si>
    <t>RNR centres</t>
  </si>
  <si>
    <t>Agriculture Extension Centres</t>
  </si>
  <si>
    <t>Livestock Extension Centres</t>
  </si>
  <si>
    <t>Poultry farms (group)</t>
  </si>
  <si>
    <t>Fishery farms (group)</t>
  </si>
  <si>
    <t>Piggery farms (group)</t>
  </si>
  <si>
    <t>Functional Irrigation channels</t>
  </si>
  <si>
    <t>Non-Functional Irrigation channels</t>
  </si>
  <si>
    <t>…</t>
  </si>
  <si>
    <t>Total length of channels (km)</t>
  </si>
  <si>
    <t>Area covered by irrigation  (acres)</t>
  </si>
  <si>
    <t>Number of households benefitted by irrigation</t>
  </si>
  <si>
    <t>Number of food processing units</t>
  </si>
  <si>
    <t>Number of livestock product processing units(milk)</t>
  </si>
  <si>
    <t>Number of power tillers</t>
  </si>
  <si>
    <r>
      <t xml:space="preserve"> </t>
    </r>
    <r>
      <rPr>
        <vertAlign val="superscript"/>
        <sz val="11"/>
        <color indexed="8"/>
        <rFont val="Calibri Light"/>
        <family val="2"/>
      </rPr>
      <t xml:space="preserve">1 </t>
    </r>
    <r>
      <rPr>
        <sz val="11"/>
        <color indexed="8"/>
        <rFont val="Calibri Light"/>
        <family val="2"/>
      </rPr>
      <t>Including traditional mills</t>
    </r>
  </si>
  <si>
    <t xml:space="preserve">Source: Dzongkhag Agriculture &amp; Livestock Sector, Pema Gatshel </t>
  </si>
  <si>
    <t>Crop/Productions</t>
  </si>
  <si>
    <t>Wheat</t>
  </si>
  <si>
    <t>Area (Acres)</t>
  </si>
  <si>
    <t>Production (Kg)</t>
  </si>
  <si>
    <t>Yield (Kg/Acre)</t>
  </si>
  <si>
    <t>Barley</t>
  </si>
  <si>
    <t>Maize</t>
  </si>
  <si>
    <t>Buckwheat</t>
  </si>
  <si>
    <t>Millet</t>
  </si>
  <si>
    <t>Farmers' Group/Associations/Cooperatives</t>
  </si>
  <si>
    <t>Number</t>
  </si>
  <si>
    <t xml:space="preserve">Year Registered </t>
  </si>
  <si>
    <t>Remarks</t>
  </si>
  <si>
    <t xml:space="preserve">Forestry Production </t>
  </si>
  <si>
    <t>Chimung Meday Detshen</t>
  </si>
  <si>
    <t>2012-2013</t>
  </si>
  <si>
    <t>Agriculture</t>
  </si>
  <si>
    <t>Sonam Yarphel Detshen</t>
  </si>
  <si>
    <t>Mandi-Thongsa Farm Road User Group</t>
  </si>
  <si>
    <t>2011-2012</t>
  </si>
  <si>
    <t>Rezimo Chiwog Sonam Gongphel Tshogpa</t>
  </si>
  <si>
    <t>2010-2011</t>
  </si>
  <si>
    <t>Shingchongre Baysem Nyenrel Tshogpa</t>
  </si>
  <si>
    <t>Gonpawog Tshesay Tshogpa</t>
  </si>
  <si>
    <t>Tokari Momtse Tshogpa</t>
  </si>
  <si>
    <t>Bara Gonpa  Momtse Tshogpa</t>
  </si>
  <si>
    <t>Taephu Momtse Tshogpa</t>
  </si>
  <si>
    <t>Wongchilu Momtse Tshogpa</t>
  </si>
  <si>
    <t>Wooliktang Momtse Tshogpa</t>
  </si>
  <si>
    <t>Nanong Vegetable Group</t>
  </si>
  <si>
    <t>Khenadang-Yelchen</t>
  </si>
  <si>
    <t>Ngangshing-Wongcxhilo</t>
  </si>
  <si>
    <t>Satsalo Vegetable Group</t>
  </si>
  <si>
    <t>Menchu Vegetable Group</t>
  </si>
  <si>
    <t>Vegetable production</t>
  </si>
  <si>
    <t>2016-2017</t>
  </si>
  <si>
    <t>Nazhoen Sonam Sazhi
 Chechong Tshogpa</t>
  </si>
  <si>
    <t>2017-2018</t>
  </si>
  <si>
    <t>Sachanglo_Menchu RUG</t>
  </si>
  <si>
    <t>Abashing_Gashare RUG</t>
  </si>
  <si>
    <t>Ningshingborang_Phudazashing RUG</t>
  </si>
  <si>
    <t>Borangmo RUG</t>
  </si>
  <si>
    <t>Dorjijadam_Norbugang RUG</t>
  </si>
  <si>
    <t>Rinchenthang_Tenzinma RUG</t>
  </si>
  <si>
    <t>Benjare RUG</t>
  </si>
  <si>
    <t>Tshelshingzor_Tingtingtsho RUG</t>
  </si>
  <si>
    <t>Menchu_Menchugoenpa RUG</t>
  </si>
  <si>
    <t>Ningshingborang_Rangthangwong RUG</t>
  </si>
  <si>
    <t>Zumpheree_Tekalung RUG</t>
  </si>
  <si>
    <t>WUA for Tenzinma irrigation channel</t>
  </si>
  <si>
    <t>WUA for Tekalung irrigation channel</t>
  </si>
  <si>
    <t>Yallang Momtse Tshogpa</t>
  </si>
  <si>
    <t>Dungsam Gongphel Sonam Tshogpa</t>
  </si>
  <si>
    <t>Nangkhor Silo Group</t>
  </si>
  <si>
    <t>Nangkhor Momtse Tshogpa</t>
  </si>
  <si>
    <t>Shumer Momtse Tshogpa</t>
  </si>
  <si>
    <t>Bartseri Momtse Tshogpa</t>
  </si>
  <si>
    <t>Khoray Pam</t>
  </si>
  <si>
    <t>Dagor Rajma Bean Group</t>
  </si>
  <si>
    <t>Farm road</t>
  </si>
  <si>
    <t>Shali-Gamung Farm Road User Group</t>
  </si>
  <si>
    <t>Gonpong Farm Road user Group</t>
  </si>
  <si>
    <t>2007-2008</t>
  </si>
  <si>
    <t>Yurung Sonam Yargay Detshen</t>
  </si>
  <si>
    <t>Khangma Saga Detshen</t>
  </si>
  <si>
    <t>Khangma Badam Detshen</t>
  </si>
  <si>
    <t>Khangma Momsey Detshen</t>
  </si>
  <si>
    <t xml:space="preserve"> January, 2018</t>
  </si>
  <si>
    <t>Gangrig Sonam Gongphel Detshen</t>
  </si>
  <si>
    <t xml:space="preserve"> January, 2019</t>
  </si>
  <si>
    <t>Gypkha-Porila Sonam Zhinglam Detshen</t>
  </si>
  <si>
    <t>March, 2017</t>
  </si>
  <si>
    <t>Yuesum Detshen</t>
  </si>
  <si>
    <t>May, 2018</t>
  </si>
  <si>
    <t>Lhawoong Kuenphen Detshen</t>
  </si>
  <si>
    <t>Khangma Khorlam Thsogpa</t>
  </si>
  <si>
    <t>Bainangshing Momtse Tshogpa</t>
  </si>
  <si>
    <t>Lengpey Momtse Tshogpa</t>
  </si>
  <si>
    <t>Zobel Momtse Tsogpa</t>
  </si>
  <si>
    <t>Mann Tsetshey Detshen</t>
  </si>
  <si>
    <t>TshelingkhorTsetshey Detshen</t>
  </si>
  <si>
    <t>Pangthang Tsetshey Detshen</t>
  </si>
  <si>
    <t>PathangdazaTsetshey Detshen</t>
  </si>
  <si>
    <t>Shumar Juk Tsetshey Detshen</t>
  </si>
  <si>
    <t>Resinang Tsetshey Detshen</t>
  </si>
  <si>
    <t>2008-2009</t>
  </si>
  <si>
    <t>Ngangmalang Bachok Tsetshey Detshen</t>
  </si>
  <si>
    <t>Gonpa singma-Ngangmalam</t>
  </si>
  <si>
    <t>2010-2012</t>
  </si>
  <si>
    <t>Ngangshing-Tshelingkhor</t>
  </si>
  <si>
    <t>2009-2010</t>
  </si>
  <si>
    <t>Zobel-Lengpeg</t>
  </si>
  <si>
    <t>2014-2015</t>
  </si>
  <si>
    <t>Ngorkhe-Bainangtshing</t>
  </si>
  <si>
    <t>Source: Livestock, Agriculture &amp; Forestry Sector, Pema Gatshel</t>
  </si>
  <si>
    <t>Sectors/sex</t>
  </si>
  <si>
    <t>Male</t>
  </si>
  <si>
    <t>Female</t>
  </si>
  <si>
    <t>Total</t>
  </si>
  <si>
    <t>Forestry</t>
  </si>
  <si>
    <t>Livestock</t>
  </si>
  <si>
    <t xml:space="preserve">Source: Bhutan RNR Statistics, MoAF &amp; Dzongkhag  RNR Sector, Pema Gatshel </t>
  </si>
  <si>
    <t>Types</t>
  </si>
  <si>
    <t>Cattle</t>
  </si>
  <si>
    <t>Yak</t>
  </si>
  <si>
    <t>Buffalo</t>
  </si>
  <si>
    <t>Zo/Zom</t>
  </si>
  <si>
    <t>Equine</t>
  </si>
  <si>
    <t>Pig</t>
  </si>
  <si>
    <t>Poultry</t>
  </si>
  <si>
    <t>Sheep</t>
  </si>
  <si>
    <t>Goat</t>
  </si>
  <si>
    <t>Cat</t>
  </si>
  <si>
    <t>Dog</t>
  </si>
  <si>
    <t>Livestock products</t>
  </si>
  <si>
    <t>Dried Cheese (Chugu)</t>
  </si>
  <si>
    <t>Honey (liters)</t>
  </si>
  <si>
    <t>Major fruits/Productions</t>
  </si>
  <si>
    <t>Apple</t>
  </si>
  <si>
    <t>Total Trees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</si>
  <si>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</si>
  <si>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</si>
  <si>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</si>
  <si>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</si>
  <si>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</si>
  <si>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</si>
  <si>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</si>
  <si>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</si>
  <si>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</si>
  <si>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</si>
  <si>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</si>
  <si>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</si>
  <si>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Dzongkhag Agriculture Sector, Pema Gatshel</t>
  </si>
  <si>
    <t>Cardamom</t>
  </si>
  <si>
    <t>Area (acres)</t>
  </si>
  <si>
    <t>Yield (Kg/acre)</t>
  </si>
  <si>
    <t>Ginger</t>
  </si>
  <si>
    <t>Garlic</t>
  </si>
  <si>
    <t>Potato</t>
  </si>
  <si>
    <t>Chili</t>
  </si>
  <si>
    <t>Cabbage</t>
  </si>
  <si>
    <t>Cauliflower</t>
  </si>
  <si>
    <t>Green Leaves</t>
  </si>
  <si>
    <t>Raddish</t>
  </si>
  <si>
    <t>Cucumber</t>
  </si>
  <si>
    <t>Beans</t>
  </si>
  <si>
    <t>Mustard</t>
  </si>
  <si>
    <t>Soyabean</t>
  </si>
  <si>
    <t>Onion (inc shallot)</t>
  </si>
  <si>
    <t>Pumkin, Squash and Gourds</t>
  </si>
  <si>
    <t>Productions/Year</t>
  </si>
  <si>
    <t>Paddy (Irrigated and Upland)</t>
  </si>
  <si>
    <t>Butter (KG)</t>
  </si>
  <si>
    <t>Cheese (KG)</t>
  </si>
  <si>
    <t>Fresh Milk (KG)</t>
  </si>
  <si>
    <t>Eggs (No.)</t>
  </si>
  <si>
    <t>Fish (KG)</t>
  </si>
  <si>
    <t>Beef (KG)</t>
  </si>
  <si>
    <t>Pork (KG)</t>
  </si>
  <si>
    <t>Yak Meat (KG)</t>
  </si>
  <si>
    <t>Mutton (KG)</t>
  </si>
  <si>
    <t>Chicken (KG)</t>
  </si>
  <si>
    <t>Wool (KG)</t>
  </si>
  <si>
    <t>Mithun</t>
  </si>
  <si>
    <t>Source: DzongkhagLivestock Sector, Pemagatshel</t>
  </si>
  <si>
    <t>Source: Dzongkhag Livestock Sector, Pemagatshel</t>
  </si>
  <si>
    <t xml:space="preserve">Source: Dzongkhag Agriculture Sector, Pemagatshel </t>
  </si>
  <si>
    <t>..</t>
  </si>
  <si>
    <t>….</t>
  </si>
  <si>
    <t>semi-commercial farms</t>
  </si>
  <si>
    <t>*Extension offices are included under RNR centres.</t>
  </si>
  <si>
    <t>dysfuctional as of now</t>
  </si>
  <si>
    <t>net command area</t>
  </si>
  <si>
    <t>Sl.No</t>
  </si>
  <si>
    <t>Table 5.3: Cultivated Area, Production and Yield of Major Crops, Pema Gatshel (2018-2022)</t>
  </si>
  <si>
    <t>Table 5.4: Name of Farmers’ Group, Associations and Cooperatives Registered with DAMC,Pema Gatshel ( 2022)</t>
  </si>
  <si>
    <t>Bamangzore Phuensum CF</t>
  </si>
  <si>
    <t>Chimung Dendrupling CF</t>
  </si>
  <si>
    <t>Chiphung CF</t>
  </si>
  <si>
    <t>Chokhoeling CF</t>
  </si>
  <si>
    <t>Chungkhar community Forest</t>
  </si>
  <si>
    <t>Dagor Phendey Community Forest</t>
  </si>
  <si>
    <t>Dezama Nyamrub CF</t>
  </si>
  <si>
    <t>Dongdongma CF</t>
  </si>
  <si>
    <t>Dunghar Gakiling CF</t>
  </si>
  <si>
    <t>Gamung Dondey Gongphel Community Forest</t>
  </si>
  <si>
    <t>Gashari CF</t>
  </si>
  <si>
    <t>Gayzor Community Forest</t>
  </si>
  <si>
    <t>Gonpung Gakey Community Forest</t>
  </si>
  <si>
    <t>Guyum Chigthuen Phandey CF</t>
  </si>
  <si>
    <t>Khangma Sengchilo Dranam Phendey CF</t>
  </si>
  <si>
    <t>Khar Norbuling Community Forest</t>
  </si>
  <si>
    <t>Kharamree Phendhey CF</t>
  </si>
  <si>
    <t>Khawar Jungzhi Sungchop Community Forest</t>
  </si>
  <si>
    <t>Khenadrang Yencheri CF</t>
  </si>
  <si>
    <t>Kinche CF</t>
  </si>
  <si>
    <t>Kuenzangcholing Community Forest</t>
  </si>
  <si>
    <t>Loongkholom Suwaiwang CF</t>
  </si>
  <si>
    <t>Mandi Yerjay CF</t>
  </si>
  <si>
    <t>Marung  CF</t>
  </si>
  <si>
    <t>Memang Phendhey CF</t>
  </si>
  <si>
    <t>Menchu CF</t>
  </si>
  <si>
    <t>Namdaling CF</t>
  </si>
  <si>
    <t>Nangkhor Kuenphen Community Forest</t>
  </si>
  <si>
    <t>Ngangmalang Rashuri Community Forest</t>
  </si>
  <si>
    <t>Ngashing Phendey Gyalsay Trungkhar CF</t>
  </si>
  <si>
    <t>Nomey Memang CF</t>
  </si>
  <si>
    <t>Nyaskhar Teonchang CF</t>
  </si>
  <si>
    <t>Pangthang Kulung CF</t>
  </si>
  <si>
    <t>Pangthang Norbuling CF</t>
  </si>
  <si>
    <t>Pangthangdaza Shokpo Tsho Community Forest</t>
  </si>
  <si>
    <t>Phuensum Tshogpa CF</t>
  </si>
  <si>
    <t>Puensum Phendey Community Forest</t>
  </si>
  <si>
    <t>Rangjung Community Forest</t>
  </si>
  <si>
    <t>Rezemo CF</t>
  </si>
  <si>
    <t>Samdrup Community Forest</t>
  </si>
  <si>
    <t>Sangaycholing CF</t>
  </si>
  <si>
    <t>Shali-Peldrup Community Forest</t>
  </si>
  <si>
    <t>Shumar Sokpu Denmong Community Forest</t>
  </si>
  <si>
    <t>Tadzong CF</t>
  </si>
  <si>
    <t>Thungo CF</t>
  </si>
  <si>
    <t>Tomey Konang Changmo CF</t>
  </si>
  <si>
    <t>Tsangtseri Thundrel Community Forest</t>
  </si>
  <si>
    <t>Tshelingore Community Forest</t>
  </si>
  <si>
    <t>Tsheshingzore CF</t>
  </si>
  <si>
    <t>Tshogphu Tokarey Community Forest</t>
  </si>
  <si>
    <t>Woligtang Yerjay CF</t>
  </si>
  <si>
    <t>Yangtsho CF</t>
  </si>
  <si>
    <t>Yurung Dranam Phenday Gongphel CF</t>
  </si>
  <si>
    <t>Mogsar Thuendrel CF</t>
  </si>
  <si>
    <t>Bongman NWFP</t>
  </si>
  <si>
    <t>Chimong Gongphel Shingmen Thoenkey Detshen</t>
  </si>
  <si>
    <t>Dagore Shingmen Gongphel Detshen</t>
  </si>
  <si>
    <t>Dezema NWFP Group</t>
  </si>
  <si>
    <t>Gamung NWFP</t>
  </si>
  <si>
    <t>Gashari NWFP Group</t>
  </si>
  <si>
    <t>Gonpung Shingmen Detshen</t>
  </si>
  <si>
    <t>Keroung NWFP Group</t>
  </si>
  <si>
    <t>Khengzor NWFP</t>
  </si>
  <si>
    <t>Labar Chithuen NWFP</t>
  </si>
  <si>
    <t>Menchu pipla/NWFP Group</t>
  </si>
  <si>
    <t>Ngangray NWFP Group</t>
  </si>
  <si>
    <t>Norbugang NWFP Group</t>
  </si>
  <si>
    <t>Tokari Shingmen Detshen</t>
  </si>
  <si>
    <t>Tomi-Zimzore NWFP group</t>
  </si>
  <si>
    <t>Tshelingore NWFP Management and Marketing</t>
  </si>
  <si>
    <t>Wongborang NWFP group</t>
  </si>
  <si>
    <t>Wongchelo Chigthuen Tshogpa</t>
  </si>
  <si>
    <t>Yangmalashing Pipla Group</t>
  </si>
  <si>
    <t>Bartseri Gonor Chithuen Detshen</t>
  </si>
  <si>
    <t>FG/15</t>
  </si>
  <si>
    <t xml:space="preserve">Livestock </t>
  </si>
  <si>
    <t>Yurung Sonam Dang Gonor Gongphel Detshen</t>
  </si>
  <si>
    <t>FG/138</t>
  </si>
  <si>
    <t>Tshebar Gonor Gongphel Detshen</t>
  </si>
  <si>
    <t>FG/150</t>
  </si>
  <si>
    <t>Nanglam Gonor Gongphel Detshen</t>
  </si>
  <si>
    <t>FG/192</t>
  </si>
  <si>
    <t xml:space="preserve">Norboogang Zambala Om Tshogpa </t>
  </si>
  <si>
    <t>FG/450</t>
  </si>
  <si>
    <t>Redzemo Jersey Gongphel Detshen</t>
  </si>
  <si>
    <t>FG/193</t>
  </si>
  <si>
    <t>Tshelingkhor Gonor Chuethen Detshen</t>
  </si>
  <si>
    <t>FG/191</t>
  </si>
  <si>
    <t>Ngangmalang Medoe Om Zojor Detshen</t>
  </si>
  <si>
    <t>FG/447</t>
  </si>
  <si>
    <t>Terda Puensum Gonor Detchen</t>
  </si>
  <si>
    <t>FG/618</t>
  </si>
  <si>
    <t>Tsatsi Dagor Norlhai Detshen</t>
  </si>
  <si>
    <t>FG/659</t>
  </si>
  <si>
    <t>Tokaray Gonor Gongphel Detchen</t>
  </si>
  <si>
    <t>FG/657</t>
  </si>
  <si>
    <t>Table 5.2: Agriculture Infrastructures and Other Facilities,  Pema Gatshel (2015-2022)</t>
  </si>
  <si>
    <r>
      <t>Table 5.5: Farmers' Training Provided by RNR Sectors and DAMC,</t>
    </r>
    <r>
      <rPr>
        <b/>
        <sz val="14"/>
        <color indexed="8"/>
        <rFont val="Calibri Light"/>
        <family val="2"/>
      </rPr>
      <t xml:space="preserve">  Pema Gatshel (2013-2017)</t>
    </r>
  </si>
  <si>
    <r>
      <t>Table 5.6: Livestock Population by Types,</t>
    </r>
    <r>
      <rPr>
        <b/>
        <sz val="16"/>
        <color indexed="8"/>
        <rFont val="Calibri Light"/>
        <family val="2"/>
      </rPr>
      <t xml:space="preserve">  Pema Gatshel (2018-2022)</t>
    </r>
  </si>
  <si>
    <r>
      <t xml:space="preserve">Table 5.9: Major Spices &amp; Oilseeds production, </t>
    </r>
    <r>
      <rPr>
        <b/>
        <sz val="12"/>
        <color indexed="8"/>
        <rFont val="Calibri Light"/>
        <family val="2"/>
      </rPr>
      <t xml:space="preserve"> Pema Gatshel (2018-2022)</t>
    </r>
  </si>
  <si>
    <t xml:space="preserve">Table 5.7: Livestock Productions, Pema Gatshel (2018-2022) </t>
  </si>
  <si>
    <t>Table 5.8: Number of Major Fruits and Nuts production, Pema Gatshel  (2018-2022)</t>
  </si>
  <si>
    <t>Source: Agriculture Statistics, Bhutan (2018, 2019, 2020, 2021,2022)</t>
  </si>
  <si>
    <t>(Number)</t>
  </si>
  <si>
    <t>Source:Integrated Agriculture and Livestock Census of Bhutan 2022</t>
  </si>
  <si>
    <t>*No trainings were provided during the year 2022</t>
  </si>
  <si>
    <t>Source: Land Section.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</si>
</sst>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0_)"/>
    <numFmt numFmtId="165" formatCode="0.0_)"/>
    <numFmt numFmtId="166" formatCode="0.0"/>
    <numFmt numFmtId="167" formatCode="_(* #,##0_);_(* \(#,##0\);_(* &quot;-&quot;??_);_(@_)"/>
    <numFmt numFmtId="168" formatCode="#,##0.0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  <font>
      <vertAlign val="superscript"/>
      <sz val="11"/>
      <color indexed="8"/>
      <name val="Calibri Light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</font>
    <font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ourier New"/>
      <family val="3"/>
    </font>
    <font>
      <sz val="12"/>
      <color rgb="FF000000"/>
      <name val="Calibri Light"/>
      <family val="2"/>
      <scheme val="major"/>
    </font>
    <font>
      <sz val="12"/>
      <color theme="1"/>
      <name val="Courier New"/>
      <family val="3"/>
    </font>
    <font>
      <sz val="12"/>
      <color theme="1"/>
      <name val="Calibri Light"/>
      <family val="2"/>
    </font>
    <font>
      <sz val="12"/>
      <color rgb="FF000000"/>
      <name val="Calibri Light"/>
      <family val="2"/>
    </font>
    <font>
      <sz val="12"/>
      <color rgb="FF000000"/>
      <name val="Times New Roman"/>
      <family val="1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Calibri Light"/>
      <family val="2"/>
    </font>
    <font>
      <b/>
      <sz val="12"/>
      <color rgb="FFFF0000"/>
      <name val="Calibri Light"/>
      <family val="2"/>
      <scheme val="major"/>
    </font>
    <font>
      <b/>
      <sz val="16"/>
      <name val="Calibri Light"/>
      <family val="2"/>
    </font>
    <font>
      <sz val="16"/>
      <color theme="1"/>
      <name val="Calibri Light"/>
      <family val="2"/>
    </font>
    <font>
      <sz val="16"/>
      <color theme="1"/>
      <name val="Calibri"/>
      <family val="2"/>
      <scheme val="minor"/>
    </font>
    <font>
      <sz val="16"/>
      <color indexed="8"/>
      <name val="Calibri Light"/>
      <family val="2"/>
    </font>
    <font>
      <sz val="16"/>
      <name val="Calibri Light"/>
      <family val="2"/>
    </font>
    <font>
      <b/>
      <sz val="16"/>
      <color theme="1"/>
      <name val="Calibri light"/>
      <family val="2"/>
    </font>
    <font>
      <b/>
      <sz val="16"/>
      <name val="Calibri"/>
      <family val="2"/>
    </font>
    <font>
      <b/>
      <sz val="16"/>
      <color theme="1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</font>
    <font>
      <sz val="10"/>
      <color indexed="8"/>
      <name val="Calibri Light"/>
      <family val="2"/>
    </font>
    <font>
      <b/>
      <sz val="14"/>
      <name val="Calibri Light"/>
      <family val="2"/>
    </font>
    <font>
      <b/>
      <sz val="14"/>
      <name val="Calibri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sz val="14"/>
      <name val="Calibri Light"/>
      <family val="2"/>
    </font>
    <font>
      <sz val="14"/>
      <color theme="1"/>
      <name val="Calibri Light"/>
      <family val="2"/>
    </font>
    <font>
      <sz val="14"/>
      <color indexed="8"/>
      <name val="Calibri Light"/>
      <family val="2"/>
    </font>
    <font>
      <sz val="14"/>
      <color indexed="8"/>
      <name val="Calibri Light"/>
      <family val="2"/>
      <scheme val="major"/>
    </font>
    <font>
      <sz val="13"/>
      <name val="Calibri Light"/>
      <family val="2"/>
    </font>
    <font>
      <b/>
      <sz val="9"/>
      <color indexed="8"/>
      <name val="Calibri"/>
      <family val="2"/>
    </font>
    <font>
      <b/>
      <sz val="14"/>
      <name val="Calibri Light"/>
      <family val="2"/>
      <scheme val="maj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 Light"/>
      <family val="2"/>
      <scheme val="major"/>
    </font>
    <font>
      <sz val="13"/>
      <color indexed="8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3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6"/>
      <color indexed="8"/>
      <name val="Calibri Light"/>
      <family val="2"/>
    </font>
    <font>
      <b/>
      <sz val="14"/>
      <color indexed="8"/>
      <name val="Calibri Light"/>
      <family val="2"/>
    </font>
    <font>
      <b/>
      <sz val="14"/>
      <color indexed="8"/>
      <name val="Calibri Light"/>
      <family val="2"/>
      <scheme val="major"/>
    </font>
    <font>
      <sz val="14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9"/>
      <color rgb="FF000000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 Light"/>
      <family val="2"/>
    </font>
    <font>
      <sz val="11"/>
      <name val="Calibri Light"/>
      <family val="2"/>
    </font>
    <font>
      <i/>
      <sz val="11"/>
      <color theme="1"/>
      <name val="Calibri Light"/>
      <family val="2"/>
    </font>
    <font>
      <sz val="14"/>
      <color theme="1"/>
      <name val="Calibri"/>
      <family val="2"/>
      <scheme val="minor"/>
    </font>
    <font>
      <b/>
      <sz val="14"/>
      <color theme="1"/>
      <name val="Arial Rounded MT Bold"/>
      <family val="2"/>
    </font>
    <font>
      <sz val="16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27" fillId="0" borderId="0"/>
    <xf numFmtId="0" fontId="28" fillId="0" borderId="0"/>
  </cellStyleXfs>
  <cellXfs count="41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3" fillId="0" borderId="0" xfId="0" applyFont="1"/>
    <xf numFmtId="0" fontId="19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5" fillId="0" borderId="5" xfId="0" applyFont="1" applyBorder="1" applyAlignment="1">
      <alignment vertical="center"/>
    </xf>
    <xf numFmtId="1" fontId="15" fillId="0" borderId="5" xfId="0" applyNumberFormat="1" applyFont="1" applyBorder="1" applyAlignment="1">
      <alignment vertical="center"/>
    </xf>
    <xf numFmtId="3" fontId="15" fillId="0" borderId="5" xfId="0" applyNumberFormat="1" applyFont="1" applyBorder="1" applyAlignment="1">
      <alignment horizontal="right" vertical="center"/>
    </xf>
    <xf numFmtId="1" fontId="15" fillId="0" borderId="5" xfId="0" applyNumberFormat="1" applyFont="1" applyBorder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1" fontId="22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horizontal="right" vertical="center"/>
    </xf>
    <xf numFmtId="43" fontId="15" fillId="2" borderId="5" xfId="4" applyNumberFormat="1" applyFont="1" applyFill="1" applyBorder="1" applyAlignment="1">
      <alignment horizontal="right" vertical="center" wrapText="1"/>
    </xf>
    <xf numFmtId="43" fontId="15" fillId="2" borderId="5" xfId="4" applyNumberFormat="1" applyFont="1" applyFill="1" applyBorder="1" applyAlignment="1">
      <alignment horizontal="right"/>
    </xf>
    <xf numFmtId="0" fontId="25" fillId="0" borderId="5" xfId="0" applyFont="1" applyBorder="1" applyAlignment="1">
      <alignment vertical="center"/>
    </xf>
    <xf numFmtId="43" fontId="15" fillId="2" borderId="5" xfId="4" applyNumberFormat="1" applyFont="1" applyFill="1" applyBorder="1" applyAlignment="1">
      <alignment horizontal="right" vertical="center"/>
    </xf>
    <xf numFmtId="43" fontId="15" fillId="2" borderId="5" xfId="3" applyNumberFormat="1" applyFont="1" applyFill="1" applyBorder="1" applyAlignment="1">
      <alignment horizontal="right" vertical="center" wrapText="1"/>
    </xf>
    <xf numFmtId="43" fontId="15" fillId="2" borderId="5" xfId="3" applyNumberFormat="1" applyFont="1" applyFill="1" applyBorder="1" applyAlignment="1">
      <alignment horizontal="right"/>
    </xf>
    <xf numFmtId="166" fontId="25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horizontal="right" vertical="center"/>
    </xf>
    <xf numFmtId="167" fontId="22" fillId="0" borderId="5" xfId="0" applyNumberFormat="1" applyFont="1" applyBorder="1" applyAlignment="1">
      <alignment vertical="center"/>
    </xf>
    <xf numFmtId="166" fontId="9" fillId="0" borderId="5" xfId="0" applyNumberFormat="1" applyFont="1" applyBorder="1" applyAlignment="1">
      <alignment horizontal="center" vertical="center"/>
    </xf>
    <xf numFmtId="0" fontId="15" fillId="0" borderId="5" xfId="0" applyFont="1" applyBorder="1"/>
    <xf numFmtId="4" fontId="15" fillId="0" borderId="5" xfId="0" applyNumberFormat="1" applyFont="1" applyBorder="1"/>
    <xf numFmtId="43" fontId="15" fillId="2" borderId="5" xfId="0" applyNumberFormat="1" applyFont="1" applyFill="1" applyBorder="1" applyAlignment="1">
      <alignment horizontal="right" vertical="center"/>
    </xf>
    <xf numFmtId="1" fontId="15" fillId="2" borderId="5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left" vertical="center" indent="1"/>
    </xf>
    <xf numFmtId="0" fontId="9" fillId="0" borderId="5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166" fontId="25" fillId="0" borderId="5" xfId="0" applyNumberFormat="1" applyFont="1" applyBorder="1" applyAlignment="1">
      <alignment horizontal="center" vertical="center"/>
    </xf>
    <xf numFmtId="3" fontId="25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1" fontId="25" fillId="0" borderId="5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3" fontId="26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0" fontId="16" fillId="0" borderId="13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3" fillId="0" borderId="0" xfId="0" applyFont="1"/>
    <xf numFmtId="0" fontId="34" fillId="0" borderId="0" xfId="0" applyFont="1" applyAlignment="1">
      <alignment vertical="center"/>
    </xf>
    <xf numFmtId="3" fontId="32" fillId="0" borderId="5" xfId="0" applyNumberFormat="1" applyFont="1" applyBorder="1" applyAlignment="1">
      <alignment vertical="center"/>
    </xf>
    <xf numFmtId="0" fontId="32" fillId="0" borderId="5" xfId="0" applyFont="1" applyBorder="1" applyAlignment="1">
      <alignment vertical="center"/>
    </xf>
    <xf numFmtId="164" fontId="31" fillId="0" borderId="0" xfId="0" applyNumberFormat="1" applyFont="1" applyAlignment="1">
      <alignment vertical="center" wrapText="1"/>
    </xf>
    <xf numFmtId="1" fontId="31" fillId="0" borderId="0" xfId="1" applyNumberFormat="1" applyFont="1" applyFill="1" applyBorder="1" applyAlignment="1" applyProtection="1">
      <alignment horizontal="right" vertical="center"/>
    </xf>
    <xf numFmtId="3" fontId="36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0" borderId="0" xfId="0" applyFont="1"/>
    <xf numFmtId="0" fontId="44" fillId="0" borderId="5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/>
    </xf>
    <xf numFmtId="0" fontId="45" fillId="0" borderId="5" xfId="0" applyFont="1" applyBorder="1" applyAlignment="1">
      <alignment horizontal="center"/>
    </xf>
    <xf numFmtId="0" fontId="46" fillId="0" borderId="15" xfId="0" applyFont="1" applyBorder="1" applyAlignment="1">
      <alignment horizontal="right" vertical="center"/>
    </xf>
    <xf numFmtId="0" fontId="47" fillId="0" borderId="15" xfId="0" applyFont="1" applyBorder="1" applyAlignment="1">
      <alignment horizontal="right" vertical="center"/>
    </xf>
    <xf numFmtId="0" fontId="48" fillId="0" borderId="8" xfId="0" applyFont="1" applyBorder="1"/>
    <xf numFmtId="0" fontId="49" fillId="0" borderId="13" xfId="0" applyFont="1" applyBorder="1"/>
    <xf numFmtId="0" fontId="46" fillId="0" borderId="8" xfId="0" applyFont="1" applyBorder="1" applyAlignment="1">
      <alignment horizontal="right" vertical="center"/>
    </xf>
    <xf numFmtId="0" fontId="47" fillId="0" borderId="8" xfId="0" applyFont="1" applyBorder="1" applyAlignment="1">
      <alignment horizontal="right" vertical="center"/>
    </xf>
    <xf numFmtId="0" fontId="46" fillId="0" borderId="8" xfId="1" applyNumberFormat="1" applyFont="1" applyFill="1" applyBorder="1" applyAlignment="1">
      <alignment horizontal="right" vertical="center"/>
    </xf>
    <xf numFmtId="0" fontId="47" fillId="0" borderId="8" xfId="1" applyNumberFormat="1" applyFont="1" applyFill="1" applyBorder="1" applyAlignment="1">
      <alignment horizontal="right" vertical="center"/>
    </xf>
    <xf numFmtId="0" fontId="46" fillId="0" borderId="8" xfId="0" applyFont="1" applyBorder="1"/>
    <xf numFmtId="0" fontId="47" fillId="0" borderId="8" xfId="0" applyFont="1" applyBorder="1"/>
    <xf numFmtId="0" fontId="46" fillId="0" borderId="8" xfId="0" applyFont="1" applyBorder="1" applyAlignment="1">
      <alignment horizontal="right"/>
    </xf>
    <xf numFmtId="0" fontId="47" fillId="0" borderId="8" xfId="0" applyFont="1" applyBorder="1" applyAlignment="1">
      <alignment horizontal="right"/>
    </xf>
    <xf numFmtId="0" fontId="46" fillId="0" borderId="10" xfId="0" applyFont="1" applyBorder="1"/>
    <xf numFmtId="0" fontId="47" fillId="0" borderId="10" xfId="0" applyFont="1" applyBorder="1"/>
    <xf numFmtId="0" fontId="48" fillId="0" borderId="10" xfId="0" applyFont="1" applyBorder="1"/>
    <xf numFmtId="0" fontId="49" fillId="0" borderId="14" xfId="0" applyFont="1" applyBorder="1"/>
    <xf numFmtId="0" fontId="50" fillId="0" borderId="6" xfId="0" applyFont="1" applyBorder="1" applyAlignment="1">
      <alignment vertical="center"/>
    </xf>
    <xf numFmtId="0" fontId="50" fillId="0" borderId="3" xfId="0" applyFont="1" applyBorder="1" applyAlignment="1">
      <alignment vertical="center"/>
    </xf>
    <xf numFmtId="0" fontId="50" fillId="0" borderId="3" xfId="0" applyFont="1" applyBorder="1" applyAlignment="1">
      <alignment horizontal="left" vertical="center"/>
    </xf>
    <xf numFmtId="0" fontId="50" fillId="0" borderId="4" xfId="0" applyFont="1" applyBorder="1" applyAlignment="1">
      <alignment horizontal="left" vertical="center"/>
    </xf>
    <xf numFmtId="0" fontId="49" fillId="0" borderId="13" xfId="0" applyFont="1" applyBorder="1" applyAlignment="1">
      <alignment horizontal="right"/>
    </xf>
    <xf numFmtId="0" fontId="53" fillId="0" borderId="0" xfId="0" applyFont="1" applyAlignment="1">
      <alignment vertical="center"/>
    </xf>
    <xf numFmtId="0" fontId="0" fillId="0" borderId="19" xfId="0" applyBorder="1"/>
    <xf numFmtId="0" fontId="55" fillId="0" borderId="0" xfId="0" applyFont="1" applyAlignment="1">
      <alignment vertical="center"/>
    </xf>
    <xf numFmtId="165" fontId="15" fillId="0" borderId="25" xfId="2" applyNumberFormat="1" applyFont="1" applyBorder="1" applyAlignment="1">
      <alignment vertical="center"/>
    </xf>
    <xf numFmtId="165" fontId="15" fillId="0" borderId="26" xfId="2" applyNumberFormat="1" applyFont="1" applyBorder="1" applyAlignment="1">
      <alignment vertical="center"/>
    </xf>
    <xf numFmtId="165" fontId="15" fillId="0" borderId="27" xfId="2" applyNumberFormat="1" applyFont="1" applyBorder="1" applyAlignment="1">
      <alignment vertical="center"/>
    </xf>
    <xf numFmtId="0" fontId="14" fillId="0" borderId="16" xfId="0" applyFont="1" applyBorder="1" applyAlignment="1">
      <alignment horizontal="center" vertical="center"/>
    </xf>
    <xf numFmtId="0" fontId="56" fillId="0" borderId="23" xfId="0" applyFont="1" applyBorder="1" applyAlignment="1">
      <alignment vertical="center"/>
    </xf>
    <xf numFmtId="0" fontId="56" fillId="0" borderId="21" xfId="0" applyFont="1" applyBorder="1" applyAlignment="1">
      <alignment vertical="center"/>
    </xf>
    <xf numFmtId="0" fontId="56" fillId="0" borderId="22" xfId="0" applyFont="1" applyBorder="1" applyAlignment="1">
      <alignment vertical="center"/>
    </xf>
    <xf numFmtId="3" fontId="56" fillId="0" borderId="22" xfId="0" applyNumberFormat="1" applyFont="1" applyBorder="1" applyAlignment="1">
      <alignment vertical="center"/>
    </xf>
    <xf numFmtId="1" fontId="56" fillId="0" borderId="21" xfId="0" applyNumberFormat="1" applyFont="1" applyBorder="1" applyAlignment="1">
      <alignment vertical="center"/>
    </xf>
    <xf numFmtId="3" fontId="56" fillId="0" borderId="23" xfId="0" applyNumberFormat="1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20" xfId="0" applyFont="1" applyBorder="1" applyAlignment="1">
      <alignment vertical="center"/>
    </xf>
    <xf numFmtId="0" fontId="17" fillId="0" borderId="16" xfId="0" applyFont="1" applyBorder="1" applyAlignment="1">
      <alignment horizontal="center" vertical="center"/>
    </xf>
    <xf numFmtId="0" fontId="57" fillId="0" borderId="23" xfId="0" applyFont="1" applyBorder="1" applyAlignment="1">
      <alignment vertical="center"/>
    </xf>
    <xf numFmtId="0" fontId="57" fillId="0" borderId="21" xfId="0" applyFont="1" applyBorder="1" applyAlignment="1">
      <alignment vertical="center"/>
    </xf>
    <xf numFmtId="1" fontId="57" fillId="0" borderId="22" xfId="0" applyNumberFormat="1" applyFont="1" applyBorder="1" applyAlignment="1">
      <alignment vertical="center"/>
    </xf>
    <xf numFmtId="0" fontId="57" fillId="0" borderId="22" xfId="0" applyFont="1" applyBorder="1" applyAlignment="1">
      <alignment vertical="center"/>
    </xf>
    <xf numFmtId="1" fontId="57" fillId="0" borderId="24" xfId="0" applyNumberFormat="1" applyFont="1" applyBorder="1" applyAlignment="1">
      <alignment vertical="center"/>
    </xf>
    <xf numFmtId="0" fontId="57" fillId="0" borderId="20" xfId="0" applyFont="1" applyBorder="1" applyAlignment="1">
      <alignment vertical="center"/>
    </xf>
    <xf numFmtId="0" fontId="56" fillId="2" borderId="23" xfId="3" applyFont="1" applyFill="1" applyBorder="1" applyAlignment="1">
      <alignment vertical="center"/>
    </xf>
    <xf numFmtId="2" fontId="56" fillId="2" borderId="21" xfId="3" applyNumberFormat="1" applyFont="1" applyFill="1" applyBorder="1"/>
    <xf numFmtId="1" fontId="56" fillId="0" borderId="22" xfId="0" applyNumberFormat="1" applyFont="1" applyBorder="1" applyAlignment="1">
      <alignment vertical="center"/>
    </xf>
    <xf numFmtId="1" fontId="56" fillId="2" borderId="23" xfId="3" applyNumberFormat="1" applyFont="1" applyFill="1" applyBorder="1" applyAlignment="1">
      <alignment vertical="center"/>
    </xf>
    <xf numFmtId="1" fontId="56" fillId="2" borderId="21" xfId="3" applyNumberFormat="1" applyFont="1" applyFill="1" applyBorder="1"/>
    <xf numFmtId="1" fontId="56" fillId="0" borderId="24" xfId="0" applyNumberFormat="1" applyFont="1" applyBorder="1" applyAlignment="1">
      <alignment vertical="center"/>
    </xf>
    <xf numFmtId="43" fontId="56" fillId="2" borderId="23" xfId="3" applyNumberFormat="1" applyFont="1" applyFill="1" applyBorder="1"/>
    <xf numFmtId="43" fontId="56" fillId="2" borderId="21" xfId="3" applyNumberFormat="1" applyFont="1" applyFill="1" applyBorder="1"/>
    <xf numFmtId="167" fontId="56" fillId="2" borderId="21" xfId="3" applyNumberFormat="1" applyFont="1" applyFill="1" applyBorder="1"/>
    <xf numFmtId="166" fontId="56" fillId="0" borderId="21" xfId="0" applyNumberFormat="1" applyFont="1" applyBorder="1" applyAlignment="1">
      <alignment vertical="center"/>
    </xf>
    <xf numFmtId="166" fontId="56" fillId="2" borderId="23" xfId="3" applyNumberFormat="1" applyFont="1" applyFill="1" applyBorder="1"/>
    <xf numFmtId="167" fontId="56" fillId="0" borderId="22" xfId="0" applyNumberFormat="1" applyFont="1" applyBorder="1" applyAlignment="1">
      <alignment vertical="center"/>
    </xf>
    <xf numFmtId="43" fontId="56" fillId="0" borderId="24" xfId="0" applyNumberFormat="1" applyFont="1" applyBorder="1" applyAlignment="1">
      <alignment vertical="center"/>
    </xf>
    <xf numFmtId="43" fontId="56" fillId="2" borderId="20" xfId="3" applyNumberFormat="1" applyFont="1" applyFill="1" applyBorder="1"/>
    <xf numFmtId="0" fontId="61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60" fillId="0" borderId="2" xfId="0" applyFont="1" applyBorder="1" applyAlignment="1">
      <alignment vertical="center"/>
    </xf>
    <xf numFmtId="0" fontId="60" fillId="0" borderId="1" xfId="0" applyFont="1" applyBorder="1" applyAlignment="1">
      <alignment vertical="center"/>
    </xf>
    <xf numFmtId="0" fontId="64" fillId="0" borderId="11" xfId="0" applyFont="1" applyBorder="1" applyAlignment="1">
      <alignment vertical="center"/>
    </xf>
    <xf numFmtId="0" fontId="58" fillId="0" borderId="3" xfId="0" applyFont="1" applyBorder="1" applyAlignment="1">
      <alignment horizontal="right" vertical="center"/>
    </xf>
    <xf numFmtId="0" fontId="58" fillId="0" borderId="0" xfId="0" applyFont="1" applyAlignment="1">
      <alignment horizontal="right" vertical="center"/>
    </xf>
    <xf numFmtId="0" fontId="49" fillId="0" borderId="13" xfId="0" applyFont="1" applyBorder="1" applyAlignment="1">
      <alignment vertical="center"/>
    </xf>
    <xf numFmtId="0" fontId="49" fillId="0" borderId="12" xfId="0" applyFont="1" applyBorder="1" applyAlignment="1">
      <alignment vertical="center"/>
    </xf>
    <xf numFmtId="0" fontId="60" fillId="0" borderId="4" xfId="0" applyFont="1" applyBorder="1" applyAlignment="1">
      <alignment horizontal="right" vertical="center"/>
    </xf>
    <xf numFmtId="0" fontId="60" fillId="0" borderId="9" xfId="0" applyFont="1" applyBorder="1" applyAlignment="1">
      <alignment horizontal="right" vertical="center"/>
    </xf>
    <xf numFmtId="0" fontId="64" fillId="0" borderId="14" xfId="0" applyFont="1" applyBorder="1" applyAlignment="1">
      <alignment vertical="center"/>
    </xf>
    <xf numFmtId="0" fontId="64" fillId="0" borderId="13" xfId="0" applyFont="1" applyBorder="1" applyAlignment="1">
      <alignment vertical="center"/>
    </xf>
    <xf numFmtId="0" fontId="60" fillId="0" borderId="5" xfId="0" applyFont="1" applyBorder="1" applyAlignment="1">
      <alignment vertical="center"/>
    </xf>
    <xf numFmtId="0" fontId="58" fillId="0" borderId="8" xfId="0" applyFont="1" applyBorder="1" applyAlignment="1">
      <alignment horizontal="right" vertical="center"/>
    </xf>
    <xf numFmtId="0" fontId="60" fillId="0" borderId="10" xfId="0" applyFont="1" applyBorder="1" applyAlignment="1">
      <alignment horizontal="right" vertical="center"/>
    </xf>
    <xf numFmtId="0" fontId="58" fillId="0" borderId="6" xfId="0" applyFont="1" applyBorder="1" applyAlignment="1">
      <alignment horizontal="right" vertical="center"/>
    </xf>
    <xf numFmtId="0" fontId="58" fillId="0" borderId="15" xfId="0" applyFont="1" applyBorder="1" applyAlignment="1">
      <alignment horizontal="right" vertical="center"/>
    </xf>
    <xf numFmtId="0" fontId="58" fillId="0" borderId="7" xfId="0" applyFont="1" applyBorder="1" applyAlignment="1">
      <alignment horizontal="right" vertical="center"/>
    </xf>
    <xf numFmtId="0" fontId="60" fillId="0" borderId="8" xfId="0" applyFont="1" applyBorder="1" applyAlignment="1">
      <alignment vertical="center"/>
    </xf>
    <xf numFmtId="0" fontId="58" fillId="0" borderId="8" xfId="0" applyFont="1" applyBorder="1" applyAlignment="1">
      <alignment horizontal="left" vertical="center" indent="1"/>
    </xf>
    <xf numFmtId="0" fontId="60" fillId="0" borderId="10" xfId="0" applyFont="1" applyBorder="1" applyAlignment="1">
      <alignment horizontal="left" vertical="center" indent="1"/>
    </xf>
    <xf numFmtId="0" fontId="67" fillId="0" borderId="16" xfId="0" applyFont="1" applyBorder="1" applyAlignment="1">
      <alignment horizontal="left" vertical="center"/>
    </xf>
    <xf numFmtId="0" fontId="67" fillId="0" borderId="16" xfId="0" applyFont="1" applyBorder="1" applyAlignment="1">
      <alignment horizontal="center" vertical="center"/>
    </xf>
    <xf numFmtId="0" fontId="68" fillId="0" borderId="16" xfId="0" applyFont="1" applyBorder="1" applyAlignment="1">
      <alignment horizontal="center" vertical="center"/>
    </xf>
    <xf numFmtId="0" fontId="67" fillId="0" borderId="28" xfId="0" applyFont="1" applyBorder="1" applyAlignment="1">
      <alignment horizontal="center" vertical="center"/>
    </xf>
    <xf numFmtId="0" fontId="52" fillId="0" borderId="16" xfId="0" applyFont="1" applyBorder="1" applyAlignment="1">
      <alignment horizontal="left" vertical="center"/>
    </xf>
    <xf numFmtId="0" fontId="49" fillId="0" borderId="16" xfId="0" applyFont="1" applyBorder="1" applyAlignment="1">
      <alignment horizontal="right"/>
    </xf>
    <xf numFmtId="41" fontId="58" fillId="2" borderId="16" xfId="3" applyNumberFormat="1" applyFont="1" applyFill="1" applyBorder="1" applyAlignment="1">
      <alignment horizontal="right" indent="2"/>
    </xf>
    <xf numFmtId="41" fontId="58" fillId="2" borderId="16" xfId="3" applyNumberFormat="1" applyFont="1" applyFill="1" applyBorder="1" applyAlignment="1">
      <alignment horizontal="right"/>
    </xf>
    <xf numFmtId="41" fontId="58" fillId="2" borderId="28" xfId="3" applyNumberFormat="1" applyFont="1" applyFill="1" applyBorder="1" applyAlignment="1">
      <alignment horizontal="right"/>
    </xf>
    <xf numFmtId="0" fontId="65" fillId="0" borderId="16" xfId="0" applyFont="1" applyBorder="1" applyAlignment="1">
      <alignment horizontal="right"/>
    </xf>
    <xf numFmtId="0" fontId="65" fillId="0" borderId="28" xfId="0" applyFont="1" applyBorder="1" applyAlignment="1">
      <alignment horizontal="right"/>
    </xf>
    <xf numFmtId="0" fontId="52" fillId="0" borderId="27" xfId="0" applyFont="1" applyBorder="1" applyAlignment="1">
      <alignment horizontal="left" vertical="center"/>
    </xf>
    <xf numFmtId="0" fontId="49" fillId="0" borderId="27" xfId="0" applyFont="1" applyBorder="1" applyAlignment="1">
      <alignment horizontal="right"/>
    </xf>
    <xf numFmtId="0" fontId="65" fillId="0" borderId="27" xfId="0" applyFont="1" applyBorder="1" applyAlignment="1">
      <alignment horizontal="right"/>
    </xf>
    <xf numFmtId="0" fontId="65" fillId="0" borderId="29" xfId="0" applyFont="1" applyBorder="1" applyAlignment="1">
      <alignment horizontal="right"/>
    </xf>
    <xf numFmtId="3" fontId="58" fillId="2" borderId="16" xfId="3" applyNumberFormat="1" applyFont="1" applyFill="1" applyBorder="1" applyAlignment="1">
      <alignment horizontal="right"/>
    </xf>
    <xf numFmtId="0" fontId="65" fillId="0" borderId="27" xfId="0" applyFont="1" applyBorder="1" applyAlignment="1">
      <alignment horizontal="right" vertical="center"/>
    </xf>
    <xf numFmtId="41" fontId="58" fillId="2" borderId="27" xfId="3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  <xf numFmtId="41" fontId="58" fillId="2" borderId="27" xfId="3" applyNumberFormat="1" applyFont="1" applyFill="1" applyBorder="1" applyAlignment="1">
      <alignment horizontal="right" vertical="center"/>
    </xf>
    <xf numFmtId="0" fontId="58" fillId="0" borderId="27" xfId="0" applyFont="1" applyBorder="1" applyAlignment="1">
      <alignment vertical="center"/>
    </xf>
    <xf numFmtId="3" fontId="48" fillId="0" borderId="29" xfId="0" applyNumberFormat="1" applyFont="1" applyBorder="1" applyAlignment="1">
      <alignment vertical="center"/>
    </xf>
    <xf numFmtId="3" fontId="48" fillId="0" borderId="29" xfId="0" applyNumberFormat="1" applyFont="1" applyBorder="1" applyAlignment="1">
      <alignment horizontal="right" vertical="center"/>
    </xf>
    <xf numFmtId="0" fontId="42" fillId="0" borderId="16" xfId="0" applyFont="1" applyBorder="1" applyAlignment="1">
      <alignment horizontal="left" vertical="center"/>
    </xf>
    <xf numFmtId="41" fontId="58" fillId="2" borderId="16" xfId="3" applyNumberFormat="1" applyFont="1" applyFill="1" applyBorder="1" applyAlignment="1">
      <alignment horizontal="right" vertical="center"/>
    </xf>
    <xf numFmtId="3" fontId="48" fillId="0" borderId="28" xfId="0" applyNumberFormat="1" applyFont="1" applyBorder="1" applyAlignment="1">
      <alignment vertical="center"/>
    </xf>
    <xf numFmtId="0" fontId="58" fillId="0" borderId="16" xfId="0" applyFont="1" applyBorder="1" applyAlignment="1">
      <alignment vertical="center"/>
    </xf>
    <xf numFmtId="3" fontId="49" fillId="0" borderId="16" xfId="0" applyNumberFormat="1" applyFont="1" applyBorder="1" applyAlignment="1">
      <alignment horizontal="right" vertical="center"/>
    </xf>
    <xf numFmtId="3" fontId="48" fillId="0" borderId="28" xfId="0" applyNumberFormat="1" applyFont="1" applyBorder="1" applyAlignment="1">
      <alignment horizontal="right" vertical="center"/>
    </xf>
    <xf numFmtId="0" fontId="42" fillId="0" borderId="27" xfId="0" applyFont="1" applyBorder="1" applyAlignment="1">
      <alignment horizontal="left" vertical="center"/>
    </xf>
    <xf numFmtId="0" fontId="69" fillId="0" borderId="16" xfId="0" applyFont="1" applyBorder="1" applyAlignment="1">
      <alignment horizontal="center" vertical="center"/>
    </xf>
    <xf numFmtId="0" fontId="68" fillId="0" borderId="28" xfId="0" applyFont="1" applyBorder="1" applyAlignment="1">
      <alignment horizontal="center" vertical="center"/>
    </xf>
    <xf numFmtId="3" fontId="49" fillId="0" borderId="29" xfId="0" applyNumberFormat="1" applyFont="1" applyBorder="1" applyAlignment="1">
      <alignment horizontal="right" vertical="center"/>
    </xf>
    <xf numFmtId="3" fontId="49" fillId="0" borderId="16" xfId="0" applyNumberFormat="1" applyFont="1" applyBorder="1" applyAlignment="1">
      <alignment vertical="center"/>
    </xf>
    <xf numFmtId="3" fontId="49" fillId="0" borderId="27" xfId="0" applyNumberFormat="1" applyFont="1" applyBorder="1" applyAlignment="1">
      <alignment vertical="center"/>
    </xf>
    <xf numFmtId="0" fontId="70" fillId="0" borderId="5" xfId="0" applyFont="1" applyBorder="1" applyAlignment="1">
      <alignment vertical="center"/>
    </xf>
    <xf numFmtId="1" fontId="71" fillId="2" borderId="5" xfId="4" applyNumberFormat="1" applyFont="1" applyFill="1" applyBorder="1" applyAlignment="1">
      <alignment horizontal="right" vertical="center" wrapText="1"/>
    </xf>
    <xf numFmtId="1" fontId="71" fillId="2" borderId="5" xfId="3" applyNumberFormat="1" applyFont="1" applyFill="1" applyBorder="1" applyAlignment="1">
      <alignment horizontal="right"/>
    </xf>
    <xf numFmtId="0" fontId="71" fillId="0" borderId="5" xfId="0" applyFont="1" applyBorder="1"/>
    <xf numFmtId="43" fontId="71" fillId="2" borderId="5" xfId="4" applyNumberFormat="1" applyFont="1" applyFill="1" applyBorder="1" applyAlignment="1">
      <alignment horizontal="right"/>
    </xf>
    <xf numFmtId="43" fontId="71" fillId="2" borderId="5" xfId="3" applyNumberFormat="1" applyFont="1" applyFill="1" applyBorder="1" applyAlignment="1">
      <alignment horizontal="right"/>
    </xf>
    <xf numFmtId="1" fontId="70" fillId="0" borderId="5" xfId="0" applyNumberFormat="1" applyFont="1" applyBorder="1" applyAlignment="1">
      <alignment vertical="center"/>
    </xf>
    <xf numFmtId="3" fontId="70" fillId="0" borderId="5" xfId="0" applyNumberFormat="1" applyFont="1" applyBorder="1" applyAlignment="1">
      <alignment vertical="center"/>
    </xf>
    <xf numFmtId="167" fontId="71" fillId="2" borderId="5" xfId="4" applyNumberFormat="1" applyFont="1" applyFill="1" applyBorder="1" applyAlignment="1">
      <alignment horizontal="right" vertical="center" wrapText="1"/>
    </xf>
    <xf numFmtId="167" fontId="71" fillId="2" borderId="5" xfId="0" applyNumberFormat="1" applyFont="1" applyFill="1" applyBorder="1" applyAlignment="1">
      <alignment horizontal="right"/>
    </xf>
    <xf numFmtId="3" fontId="71" fillId="0" borderId="5" xfId="0" applyNumberFormat="1" applyFont="1" applyBorder="1"/>
    <xf numFmtId="0" fontId="71" fillId="2" borderId="5" xfId="0" applyFont="1" applyFill="1" applyBorder="1" applyAlignment="1">
      <alignment horizontal="right"/>
    </xf>
    <xf numFmtId="1" fontId="72" fillId="0" borderId="5" xfId="0" applyNumberFormat="1" applyFont="1" applyBorder="1" applyAlignment="1">
      <alignment horizontal="right" vertical="center"/>
    </xf>
    <xf numFmtId="167" fontId="70" fillId="0" borderId="5" xfId="0" applyNumberFormat="1" applyFont="1" applyBorder="1" applyAlignment="1">
      <alignment vertical="center" wrapText="1"/>
    </xf>
    <xf numFmtId="43" fontId="71" fillId="2" borderId="5" xfId="0" applyNumberFormat="1" applyFont="1" applyFill="1" applyBorder="1" applyAlignment="1">
      <alignment horizontal="right"/>
    </xf>
    <xf numFmtId="167" fontId="71" fillId="0" borderId="5" xfId="0" applyNumberFormat="1" applyFont="1" applyBorder="1" applyAlignment="1">
      <alignment horizontal="right" vertical="center"/>
    </xf>
    <xf numFmtId="1" fontId="71" fillId="0" borderId="5" xfId="0" applyNumberFormat="1" applyFont="1" applyBorder="1" applyAlignment="1">
      <alignment horizontal="right" vertical="center"/>
    </xf>
    <xf numFmtId="0" fontId="72" fillId="0" borderId="5" xfId="0" applyFont="1" applyBorder="1" applyAlignment="1">
      <alignment horizontal="right" vertical="center"/>
    </xf>
    <xf numFmtId="167" fontId="72" fillId="0" borderId="5" xfId="0" applyNumberFormat="1" applyFont="1" applyBorder="1" applyAlignment="1">
      <alignment vertical="center"/>
    </xf>
    <xf numFmtId="1" fontId="72" fillId="0" borderId="5" xfId="0" applyNumberFormat="1" applyFont="1" applyBorder="1" applyAlignment="1">
      <alignment vertical="center"/>
    </xf>
    <xf numFmtId="1" fontId="71" fillId="0" borderId="5" xfId="0" applyNumberFormat="1" applyFont="1" applyBorder="1" applyAlignment="1">
      <alignment vertical="center"/>
    </xf>
    <xf numFmtId="0" fontId="70" fillId="0" borderId="10" xfId="0" applyFont="1" applyBorder="1" applyAlignment="1">
      <alignment vertical="center"/>
    </xf>
    <xf numFmtId="167" fontId="71" fillId="2" borderId="10" xfId="4" applyNumberFormat="1" applyFont="1" applyFill="1" applyBorder="1" applyAlignment="1">
      <alignment horizontal="right" vertical="center" wrapText="1"/>
    </xf>
    <xf numFmtId="1" fontId="71" fillId="2" borderId="10" xfId="0" applyNumberFormat="1" applyFont="1" applyFill="1" applyBorder="1" applyAlignment="1">
      <alignment horizontal="right"/>
    </xf>
    <xf numFmtId="0" fontId="71" fillId="0" borderId="10" xfId="0" applyFont="1" applyBorder="1"/>
    <xf numFmtId="167" fontId="71" fillId="0" borderId="5" xfId="0" applyNumberFormat="1" applyFont="1" applyBorder="1" applyAlignment="1">
      <alignment vertical="center"/>
    </xf>
    <xf numFmtId="0" fontId="72" fillId="0" borderId="5" xfId="0" applyFont="1" applyBorder="1" applyAlignment="1">
      <alignment vertical="center"/>
    </xf>
    <xf numFmtId="1" fontId="70" fillId="0" borderId="11" xfId="0" applyNumberFormat="1" applyFont="1" applyBorder="1" applyAlignment="1">
      <alignment vertical="center"/>
    </xf>
    <xf numFmtId="167" fontId="70" fillId="0" borderId="11" xfId="0" applyNumberFormat="1" applyFont="1" applyBorder="1" applyAlignment="1">
      <alignment vertical="center"/>
    </xf>
    <xf numFmtId="1" fontId="35" fillId="0" borderId="5" xfId="1" applyNumberFormat="1" applyFont="1" applyFill="1" applyBorder="1" applyAlignment="1" applyProtection="1">
      <alignment horizontal="center" vertical="center"/>
    </xf>
    <xf numFmtId="0" fontId="43" fillId="0" borderId="0" xfId="0" applyFont="1" applyAlignment="1">
      <alignment horizontal="center"/>
    </xf>
    <xf numFmtId="0" fontId="49" fillId="0" borderId="8" xfId="0" applyFont="1" applyBorder="1"/>
    <xf numFmtId="0" fontId="49" fillId="0" borderId="8" xfId="0" applyFont="1" applyBorder="1" applyAlignment="1">
      <alignment horizontal="right"/>
    </xf>
    <xf numFmtId="0" fontId="49" fillId="0" borderId="10" xfId="0" applyFont="1" applyBorder="1"/>
    <xf numFmtId="0" fontId="14" fillId="0" borderId="30" xfId="0" applyFont="1" applyBorder="1" applyAlignment="1">
      <alignment horizontal="center" vertical="center"/>
    </xf>
    <xf numFmtId="0" fontId="56" fillId="0" borderId="31" xfId="0" applyFont="1" applyBorder="1"/>
    <xf numFmtId="0" fontId="56" fillId="0" borderId="1" xfId="0" applyFont="1" applyBorder="1"/>
    <xf numFmtId="1" fontId="56" fillId="0" borderId="32" xfId="0" applyNumberFormat="1" applyFont="1" applyBorder="1" applyAlignment="1">
      <alignment vertical="center"/>
    </xf>
    <xf numFmtId="0" fontId="56" fillId="0" borderId="9" xfId="0" applyFont="1" applyBorder="1"/>
    <xf numFmtId="43" fontId="56" fillId="2" borderId="9" xfId="3" applyNumberFormat="1" applyFont="1" applyFill="1" applyBorder="1"/>
    <xf numFmtId="1" fontId="56" fillId="0" borderId="1" xfId="0" applyNumberFormat="1" applyFont="1" applyBorder="1" applyAlignment="1">
      <alignment vertical="center"/>
    </xf>
    <xf numFmtId="3" fontId="56" fillId="0" borderId="32" xfId="0" applyNumberFormat="1" applyFont="1" applyBorder="1" applyAlignment="1">
      <alignment vertical="center"/>
    </xf>
    <xf numFmtId="4" fontId="56" fillId="0" borderId="31" xfId="0" applyNumberFormat="1" applyFont="1" applyBorder="1"/>
    <xf numFmtId="0" fontId="15" fillId="0" borderId="23" xfId="0" applyFont="1" applyBorder="1" applyAlignment="1">
      <alignment horizontal="right" vertical="center"/>
    </xf>
    <xf numFmtId="0" fontId="15" fillId="0" borderId="21" xfId="0" applyFont="1" applyBorder="1" applyAlignment="1">
      <alignment horizontal="right" vertical="center"/>
    </xf>
    <xf numFmtId="1" fontId="15" fillId="0" borderId="21" xfId="0" applyNumberFormat="1" applyFont="1" applyBorder="1" applyAlignment="1">
      <alignment horizontal="right" vertical="center"/>
    </xf>
    <xf numFmtId="0" fontId="15" fillId="0" borderId="22" xfId="0" applyFont="1" applyBorder="1" applyAlignment="1">
      <alignment horizontal="right" vertical="center"/>
    </xf>
    <xf numFmtId="3" fontId="15" fillId="0" borderId="24" xfId="0" applyNumberFormat="1" applyFont="1" applyBorder="1" applyAlignment="1">
      <alignment horizontal="right" vertical="center"/>
    </xf>
    <xf numFmtId="3" fontId="15" fillId="0" borderId="22" xfId="0" applyNumberFormat="1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69" fillId="0" borderId="25" xfId="0" applyFont="1" applyBorder="1" applyAlignment="1">
      <alignment horizontal="center" vertical="center"/>
    </xf>
    <xf numFmtId="0" fontId="14" fillId="0" borderId="16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70" fillId="0" borderId="0" xfId="0" applyFont="1" applyAlignment="1">
      <alignment vertical="center"/>
    </xf>
    <xf numFmtId="0" fontId="74" fillId="0" borderId="0" xfId="0" applyFont="1"/>
    <xf numFmtId="2" fontId="15" fillId="0" borderId="20" xfId="0" applyNumberFormat="1" applyFont="1" applyBorder="1" applyAlignment="1">
      <alignment horizontal="right" vertical="center"/>
    </xf>
    <xf numFmtId="0" fontId="76" fillId="0" borderId="0" xfId="0" applyFont="1" applyAlignment="1">
      <alignment horizontal="center" vertical="center"/>
    </xf>
    <xf numFmtId="0" fontId="75" fillId="0" borderId="0" xfId="0" applyFont="1"/>
    <xf numFmtId="0" fontId="78" fillId="0" borderId="0" xfId="0" applyFont="1" applyAlignment="1">
      <alignment horizontal="center" vertical="center"/>
    </xf>
    <xf numFmtId="0" fontId="81" fillId="0" borderId="8" xfId="0" applyFont="1" applyBorder="1" applyAlignment="1">
      <alignment horizontal="center"/>
    </xf>
    <xf numFmtId="0" fontId="80" fillId="0" borderId="13" xfId="0" applyFont="1" applyBorder="1" applyAlignment="1">
      <alignment horizontal="center"/>
    </xf>
    <xf numFmtId="0" fontId="80" fillId="0" borderId="8" xfId="0" applyFont="1" applyBorder="1" applyAlignment="1">
      <alignment horizontal="center"/>
    </xf>
    <xf numFmtId="0" fontId="80" fillId="0" borderId="0" xfId="0" applyFont="1"/>
    <xf numFmtId="0" fontId="82" fillId="0" borderId="0" xfId="0" applyFont="1"/>
    <xf numFmtId="0" fontId="82" fillId="0" borderId="8" xfId="0" applyFont="1" applyBorder="1" applyAlignment="1">
      <alignment horizontal="left" vertical="center"/>
    </xf>
    <xf numFmtId="0" fontId="80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3" fillId="0" borderId="0" xfId="0" applyFont="1" applyAlignment="1">
      <alignment vertical="center"/>
    </xf>
    <xf numFmtId="0" fontId="83" fillId="0" borderId="0" xfId="0" applyFont="1"/>
    <xf numFmtId="0" fontId="84" fillId="0" borderId="16" xfId="0" applyFont="1" applyBorder="1" applyAlignment="1">
      <alignment horizontal="center" vertical="center"/>
    </xf>
    <xf numFmtId="0" fontId="0" fillId="0" borderId="8" xfId="0" applyBorder="1"/>
    <xf numFmtId="165" fontId="16" fillId="0" borderId="8" xfId="2" applyNumberFormat="1" applyFont="1" applyBorder="1" applyAlignment="1">
      <alignment horizontal="left" vertical="center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/>
    <xf numFmtId="0" fontId="16" fillId="0" borderId="8" xfId="0" applyFont="1" applyBorder="1" applyAlignment="1">
      <alignment horizontal="center"/>
    </xf>
    <xf numFmtId="3" fontId="58" fillId="0" borderId="16" xfId="0" applyNumberFormat="1" applyFont="1" applyBorder="1" applyAlignment="1">
      <alignment vertical="center"/>
    </xf>
    <xf numFmtId="3" fontId="58" fillId="0" borderId="26" xfId="0" applyNumberFormat="1" applyFont="1" applyBorder="1" applyAlignment="1">
      <alignment vertical="center"/>
    </xf>
    <xf numFmtId="4" fontId="58" fillId="0" borderId="27" xfId="0" applyNumberFormat="1" applyFont="1" applyBorder="1" applyAlignment="1">
      <alignment vertical="center"/>
    </xf>
    <xf numFmtId="0" fontId="44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16" fillId="0" borderId="3" xfId="0" applyFont="1" applyBorder="1" applyAlignment="1">
      <alignment horizontal="center" vertical="center"/>
    </xf>
    <xf numFmtId="0" fontId="55" fillId="0" borderId="0" xfId="0" applyFont="1"/>
    <xf numFmtId="0" fontId="49" fillId="0" borderId="12" xfId="0" applyFont="1" applyBorder="1" applyAlignment="1">
      <alignment horizontal="right" vertical="center"/>
    </xf>
    <xf numFmtId="0" fontId="49" fillId="0" borderId="13" xfId="0" applyFont="1" applyBorder="1" applyAlignment="1">
      <alignment horizontal="right" vertical="center"/>
    </xf>
    <xf numFmtId="0" fontId="64" fillId="0" borderId="14" xfId="0" applyFont="1" applyBorder="1" applyAlignment="1">
      <alignment horizontal="right" vertical="center"/>
    </xf>
    <xf numFmtId="0" fontId="58" fillId="0" borderId="16" xfId="0" applyFont="1" applyBorder="1"/>
    <xf numFmtId="0" fontId="58" fillId="0" borderId="25" xfId="0" applyFont="1" applyBorder="1"/>
    <xf numFmtId="0" fontId="58" fillId="0" borderId="27" xfId="0" applyFont="1" applyBorder="1"/>
    <xf numFmtId="0" fontId="56" fillId="0" borderId="1" xfId="0" applyFont="1" applyBorder="1" applyAlignment="1">
      <alignment vertical="center"/>
    </xf>
    <xf numFmtId="2" fontId="13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37" fillId="0" borderId="34" xfId="0" applyFont="1" applyBorder="1" applyAlignment="1">
      <alignment vertical="center"/>
    </xf>
    <xf numFmtId="0" fontId="37" fillId="0" borderId="35" xfId="0" applyFont="1" applyBorder="1" applyAlignment="1">
      <alignment horizontal="center" vertical="center"/>
    </xf>
    <xf numFmtId="0" fontId="38" fillId="0" borderId="35" xfId="0" applyFont="1" applyBorder="1" applyAlignment="1">
      <alignment horizontal="center" vertical="center"/>
    </xf>
    <xf numFmtId="0" fontId="69" fillId="0" borderId="36" xfId="0" applyFont="1" applyBorder="1" applyAlignment="1">
      <alignment vertical="center"/>
    </xf>
    <xf numFmtId="164" fontId="35" fillId="0" borderId="37" xfId="0" applyNumberFormat="1" applyFont="1" applyBorder="1" applyAlignment="1">
      <alignment vertical="center" wrapText="1"/>
    </xf>
    <xf numFmtId="0" fontId="85" fillId="0" borderId="38" xfId="0" applyFont="1" applyBorder="1" applyAlignment="1">
      <alignment vertical="center"/>
    </xf>
    <xf numFmtId="4" fontId="85" fillId="0" borderId="38" xfId="0" applyNumberFormat="1" applyFont="1" applyBorder="1" applyAlignment="1">
      <alignment vertical="center"/>
    </xf>
    <xf numFmtId="164" fontId="31" fillId="0" borderId="39" xfId="0" applyNumberFormat="1" applyFont="1" applyBorder="1" applyAlignment="1">
      <alignment vertical="center" wrapText="1"/>
    </xf>
    <xf numFmtId="1" fontId="31" fillId="0" borderId="40" xfId="1" applyNumberFormat="1" applyFont="1" applyFill="1" applyBorder="1" applyAlignment="1" applyProtection="1">
      <alignment horizontal="center" vertical="center"/>
    </xf>
    <xf numFmtId="3" fontId="36" fillId="0" borderId="40" xfId="0" applyNumberFormat="1" applyFont="1" applyBorder="1" applyAlignment="1">
      <alignment vertical="center"/>
    </xf>
    <xf numFmtId="4" fontId="36" fillId="0" borderId="40" xfId="0" applyNumberFormat="1" applyFont="1" applyBorder="1" applyAlignment="1">
      <alignment vertical="center"/>
    </xf>
    <xf numFmtId="4" fontId="61" fillId="0" borderId="41" xfId="0" applyNumberFormat="1" applyFont="1" applyBorder="1" applyAlignment="1">
      <alignment vertical="center"/>
    </xf>
    <xf numFmtId="0" fontId="80" fillId="0" borderId="42" xfId="0" applyFont="1" applyBorder="1" applyAlignment="1">
      <alignment horizontal="left" vertical="center"/>
    </xf>
    <xf numFmtId="0" fontId="80" fillId="0" borderId="43" xfId="0" applyFont="1" applyBorder="1" applyAlignment="1">
      <alignment horizontal="left" vertical="center"/>
    </xf>
    <xf numFmtId="0" fontId="80" fillId="0" borderId="0" xfId="0" applyFont="1" applyAlignment="1">
      <alignment horizontal="center"/>
    </xf>
    <xf numFmtId="0" fontId="80" fillId="0" borderId="19" xfId="0" applyFont="1" applyBorder="1" applyAlignment="1">
      <alignment horizontal="left" vertical="center"/>
    </xf>
    <xf numFmtId="0" fontId="16" fillId="0" borderId="42" xfId="0" applyFont="1" applyBorder="1" applyAlignment="1">
      <alignment horizontal="left" vertical="center"/>
    </xf>
    <xf numFmtId="0" fontId="16" fillId="0" borderId="43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19" xfId="0" applyFont="1" applyBorder="1" applyAlignment="1">
      <alignment horizontal="left" vertical="center"/>
    </xf>
    <xf numFmtId="0" fontId="16" fillId="0" borderId="42" xfId="0" applyFont="1" applyBorder="1" applyAlignment="1">
      <alignment horizontal="left"/>
    </xf>
    <xf numFmtId="0" fontId="16" fillId="0" borderId="43" xfId="0" applyFont="1" applyBorder="1"/>
    <xf numFmtId="0" fontId="16" fillId="0" borderId="44" xfId="0" applyFont="1" applyBorder="1" applyAlignment="1">
      <alignment horizontal="left"/>
    </xf>
    <xf numFmtId="0" fontId="16" fillId="0" borderId="45" xfId="0" applyFont="1" applyBorder="1"/>
    <xf numFmtId="0" fontId="16" fillId="0" borderId="45" xfId="0" applyFont="1" applyBorder="1" applyAlignment="1">
      <alignment horizontal="center"/>
    </xf>
    <xf numFmtId="0" fontId="16" fillId="0" borderId="46" xfId="0" applyFont="1" applyBorder="1"/>
    <xf numFmtId="0" fontId="77" fillId="0" borderId="17" xfId="0" applyFont="1" applyBorder="1" applyAlignment="1">
      <alignment vertical="center"/>
    </xf>
    <xf numFmtId="0" fontId="79" fillId="0" borderId="47" xfId="0" applyFont="1" applyBorder="1" applyAlignment="1">
      <alignment vertical="center"/>
    </xf>
    <xf numFmtId="0" fontId="77" fillId="0" borderId="48" xfId="0" applyFont="1" applyBorder="1" applyAlignment="1">
      <alignment horizontal="center" vertical="center"/>
    </xf>
    <xf numFmtId="0" fontId="77" fillId="0" borderId="47" xfId="0" applyFont="1" applyBorder="1" applyAlignment="1">
      <alignment horizontal="center" vertical="center"/>
    </xf>
    <xf numFmtId="0" fontId="77" fillId="0" borderId="28" xfId="0" applyFont="1" applyBorder="1" applyAlignment="1">
      <alignment horizontal="center" vertical="center"/>
    </xf>
    <xf numFmtId="165" fontId="14" fillId="0" borderId="0" xfId="2" applyNumberFormat="1" applyFont="1" applyAlignment="1">
      <alignment vertical="center"/>
    </xf>
    <xf numFmtId="0" fontId="70" fillId="0" borderId="38" xfId="0" applyFont="1" applyBorder="1" applyAlignment="1">
      <alignment vertical="center"/>
    </xf>
    <xf numFmtId="0" fontId="72" fillId="0" borderId="38" xfId="0" applyFont="1" applyBorder="1" applyAlignment="1">
      <alignment horizontal="right" vertical="center"/>
    </xf>
    <xf numFmtId="0" fontId="71" fillId="0" borderId="38" xfId="0" applyFont="1" applyBorder="1" applyAlignment="1">
      <alignment horizontal="right" vertical="center"/>
    </xf>
    <xf numFmtId="0" fontId="72" fillId="0" borderId="38" xfId="0" applyFont="1" applyBorder="1" applyAlignment="1">
      <alignment vertical="center"/>
    </xf>
    <xf numFmtId="2" fontId="72" fillId="0" borderId="38" xfId="0" applyNumberFormat="1" applyFont="1" applyBorder="1" applyAlignment="1">
      <alignment vertical="center"/>
    </xf>
    <xf numFmtId="0" fontId="71" fillId="0" borderId="38" xfId="0" applyFont="1" applyBorder="1" applyAlignment="1">
      <alignment vertical="center"/>
    </xf>
    <xf numFmtId="1" fontId="70" fillId="0" borderId="40" xfId="0" applyNumberFormat="1" applyFont="1" applyBorder="1" applyAlignment="1">
      <alignment vertical="center"/>
    </xf>
    <xf numFmtId="168" fontId="70" fillId="0" borderId="40" xfId="0" applyNumberFormat="1" applyFont="1" applyBorder="1" applyAlignment="1">
      <alignment vertical="center"/>
    </xf>
    <xf numFmtId="166" fontId="71" fillId="0" borderId="40" xfId="0" applyNumberFormat="1" applyFont="1" applyBorder="1" applyAlignment="1">
      <alignment vertical="center"/>
    </xf>
    <xf numFmtId="1" fontId="71" fillId="0" borderId="40" xfId="0" applyNumberFormat="1" applyFont="1" applyBorder="1" applyAlignment="1">
      <alignment vertical="center"/>
    </xf>
    <xf numFmtId="0" fontId="71" fillId="0" borderId="41" xfId="0" applyFont="1" applyBorder="1" applyAlignment="1">
      <alignment vertical="center"/>
    </xf>
    <xf numFmtId="1" fontId="71" fillId="2" borderId="10" xfId="4" applyNumberFormat="1" applyFont="1" applyFill="1" applyBorder="1" applyAlignment="1">
      <alignment horizontal="right" vertical="center" wrapText="1"/>
    </xf>
    <xf numFmtId="1" fontId="71" fillId="2" borderId="10" xfId="3" applyNumberFormat="1" applyFont="1" applyFill="1" applyBorder="1" applyAlignment="1">
      <alignment horizontal="right"/>
    </xf>
    <xf numFmtId="0" fontId="70" fillId="0" borderId="49" xfId="0" applyFont="1" applyBorder="1" applyAlignment="1">
      <alignment vertical="center"/>
    </xf>
    <xf numFmtId="0" fontId="12" fillId="0" borderId="4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65" fontId="70" fillId="0" borderId="14" xfId="2" applyNumberFormat="1" applyFont="1" applyBorder="1" applyAlignment="1">
      <alignment vertical="center"/>
    </xf>
    <xf numFmtId="165" fontId="70" fillId="0" borderId="11" xfId="2" applyNumberFormat="1" applyFont="1" applyBorder="1" applyAlignment="1">
      <alignment vertical="center"/>
    </xf>
    <xf numFmtId="165" fontId="70" fillId="0" borderId="50" xfId="2" applyNumberFormat="1" applyFont="1" applyBorder="1" applyAlignment="1">
      <alignment vertical="center"/>
    </xf>
    <xf numFmtId="166" fontId="9" fillId="0" borderId="38" xfId="0" applyNumberFormat="1" applyFont="1" applyBorder="1" applyAlignment="1">
      <alignment horizontal="right" vertical="center"/>
    </xf>
    <xf numFmtId="3" fontId="9" fillId="0" borderId="38" xfId="0" applyNumberFormat="1" applyFont="1" applyBorder="1" applyAlignment="1">
      <alignment horizontal="right" vertical="center"/>
    </xf>
    <xf numFmtId="0" fontId="9" fillId="0" borderId="38" xfId="0" applyFont="1" applyBorder="1" applyAlignment="1">
      <alignment horizontal="right" vertical="center"/>
    </xf>
    <xf numFmtId="2" fontId="26" fillId="0" borderId="38" xfId="0" applyNumberFormat="1" applyFont="1" applyBorder="1" applyAlignment="1">
      <alignment horizontal="right"/>
    </xf>
    <xf numFmtId="2" fontId="25" fillId="0" borderId="38" xfId="0" applyNumberFormat="1" applyFont="1" applyBorder="1" applyAlignment="1">
      <alignment horizontal="right" vertical="center"/>
    </xf>
    <xf numFmtId="0" fontId="25" fillId="0" borderId="38" xfId="0" applyFont="1" applyBorder="1" applyAlignment="1">
      <alignment vertical="center"/>
    </xf>
    <xf numFmtId="2" fontId="25" fillId="0" borderId="38" xfId="0" applyNumberFormat="1" applyFont="1" applyBorder="1" applyAlignment="1">
      <alignment vertical="center"/>
    </xf>
    <xf numFmtId="0" fontId="9" fillId="0" borderId="40" xfId="0" applyFont="1" applyBorder="1" applyAlignment="1">
      <alignment horizontal="right" vertical="center"/>
    </xf>
    <xf numFmtId="1" fontId="15" fillId="0" borderId="40" xfId="0" applyNumberFormat="1" applyFont="1" applyBorder="1" applyAlignment="1">
      <alignment vertical="center"/>
    </xf>
    <xf numFmtId="1" fontId="15" fillId="0" borderId="40" xfId="0" applyNumberFormat="1" applyFont="1" applyBorder="1" applyAlignment="1">
      <alignment horizontal="right" vertical="center"/>
    </xf>
    <xf numFmtId="0" fontId="9" fillId="0" borderId="41" xfId="0" applyFont="1" applyBorder="1" applyAlignment="1">
      <alignment horizontal="right" vertical="center"/>
    </xf>
    <xf numFmtId="2" fontId="24" fillId="0" borderId="38" xfId="0" applyNumberFormat="1" applyFont="1" applyBorder="1" applyAlignment="1">
      <alignment vertical="center"/>
    </xf>
    <xf numFmtId="0" fontId="24" fillId="0" borderId="38" xfId="0" applyFont="1" applyBorder="1" applyAlignment="1">
      <alignment horizontal="right" vertical="center"/>
    </xf>
    <xf numFmtId="166" fontId="25" fillId="0" borderId="38" xfId="0" applyNumberFormat="1" applyFont="1" applyBorder="1" applyAlignment="1">
      <alignment vertical="center"/>
    </xf>
    <xf numFmtId="3" fontId="25" fillId="0" borderId="38" xfId="0" applyNumberFormat="1" applyFont="1" applyBorder="1" applyAlignment="1">
      <alignment vertical="center"/>
    </xf>
    <xf numFmtId="1" fontId="9" fillId="0" borderId="38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43" fontId="15" fillId="2" borderId="10" xfId="4" applyNumberFormat="1" applyFont="1" applyFill="1" applyBorder="1" applyAlignment="1">
      <alignment horizontal="right" vertical="center"/>
    </xf>
    <xf numFmtId="43" fontId="15" fillId="2" borderId="10" xfId="0" applyNumberFormat="1" applyFont="1" applyFill="1" applyBorder="1" applyAlignment="1">
      <alignment horizontal="right" vertical="center"/>
    </xf>
    <xf numFmtId="0" fontId="15" fillId="0" borderId="10" xfId="0" applyFont="1" applyBorder="1"/>
    <xf numFmtId="0" fontId="24" fillId="0" borderId="49" xfId="0" applyFont="1" applyBorder="1" applyAlignment="1">
      <alignment vertical="center"/>
    </xf>
    <xf numFmtId="0" fontId="54" fillId="0" borderId="47" xfId="0" applyFont="1" applyBorder="1" applyAlignment="1">
      <alignment horizontal="center" vertical="center"/>
    </xf>
    <xf numFmtId="0" fontId="54" fillId="0" borderId="18" xfId="0" applyFont="1" applyBorder="1" applyAlignment="1">
      <alignment horizontal="center" vertical="center"/>
    </xf>
    <xf numFmtId="165" fontId="9" fillId="0" borderId="14" xfId="2" applyNumberFormat="1" applyFont="1" applyBorder="1" applyAlignment="1">
      <alignment vertical="center"/>
    </xf>
    <xf numFmtId="165" fontId="9" fillId="0" borderId="11" xfId="2" applyNumberFormat="1" applyFont="1" applyBorder="1" applyAlignment="1">
      <alignment vertical="center"/>
    </xf>
    <xf numFmtId="165" fontId="18" fillId="0" borderId="16" xfId="2" applyNumberFormat="1" applyFont="1" applyBorder="1" applyAlignment="1">
      <alignment horizontal="center" vertical="center" wrapText="1"/>
    </xf>
    <xf numFmtId="165" fontId="9" fillId="0" borderId="50" xfId="2" applyNumberFormat="1" applyFont="1" applyBorder="1" applyAlignment="1">
      <alignment vertical="center"/>
    </xf>
    <xf numFmtId="0" fontId="9" fillId="0" borderId="49" xfId="0" applyFont="1" applyBorder="1" applyAlignment="1">
      <alignment horizontal="right" vertical="center"/>
    </xf>
    <xf numFmtId="1" fontId="35" fillId="0" borderId="5" xfId="1" applyNumberFormat="1" applyFont="1" applyFill="1" applyBorder="1" applyAlignment="1" applyProtection="1">
      <alignment horizontal="center" vertical="center"/>
    </xf>
    <xf numFmtId="165" fontId="37" fillId="0" borderId="0" xfId="2" applyNumberFormat="1" applyFont="1" applyAlignment="1">
      <alignment horizontal="left" vertical="center"/>
    </xf>
    <xf numFmtId="0" fontId="35" fillId="0" borderId="0" xfId="0" applyFont="1" applyAlignment="1">
      <alignment horizontal="right" vertical="center"/>
    </xf>
    <xf numFmtId="0" fontId="43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left"/>
    </xf>
    <xf numFmtId="0" fontId="29" fillId="0" borderId="9" xfId="0" applyFont="1" applyBorder="1" applyAlignment="1">
      <alignment horizontal="right"/>
    </xf>
    <xf numFmtId="0" fontId="53" fillId="0" borderId="0" xfId="0" applyFont="1" applyAlignment="1">
      <alignment horizontal="center" vertical="center"/>
    </xf>
    <xf numFmtId="165" fontId="59" fillId="0" borderId="20" xfId="2" applyNumberFormat="1" applyFont="1" applyBorder="1" applyAlignment="1">
      <alignment horizontal="left" vertical="center"/>
    </xf>
    <xf numFmtId="165" fontId="59" fillId="0" borderId="21" xfId="2" applyNumberFormat="1" applyFont="1" applyBorder="1" applyAlignment="1">
      <alignment horizontal="left" vertical="center"/>
    </xf>
    <xf numFmtId="165" fontId="59" fillId="0" borderId="22" xfId="2" applyNumberFormat="1" applyFont="1" applyBorder="1" applyAlignment="1">
      <alignment horizontal="left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165" fontId="59" fillId="0" borderId="23" xfId="2" applyNumberFormat="1" applyFont="1" applyBorder="1" applyAlignment="1">
      <alignment horizontal="left" vertical="center"/>
    </xf>
    <xf numFmtId="165" fontId="59" fillId="0" borderId="23" xfId="2" applyNumberFormat="1" applyFont="1" applyBorder="1" applyAlignment="1">
      <alignment horizontal="left" vertical="center" wrapText="1"/>
    </xf>
    <xf numFmtId="165" fontId="59" fillId="0" borderId="21" xfId="2" applyNumberFormat="1" applyFont="1" applyBorder="1" applyAlignment="1">
      <alignment horizontal="left" vertical="center" wrapText="1"/>
    </xf>
    <xf numFmtId="165" fontId="59" fillId="0" borderId="22" xfId="2" applyNumberFormat="1" applyFont="1" applyBorder="1" applyAlignment="1">
      <alignment horizontal="left" vertical="center" wrapText="1"/>
    </xf>
    <xf numFmtId="165" fontId="59" fillId="0" borderId="24" xfId="2" applyNumberFormat="1" applyFont="1" applyBorder="1" applyAlignment="1">
      <alignment horizontal="left" vertical="center"/>
    </xf>
    <xf numFmtId="0" fontId="76" fillId="0" borderId="0" xfId="0" applyFont="1" applyAlignment="1">
      <alignment horizontal="center" vertical="center"/>
    </xf>
    <xf numFmtId="0" fontId="8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0" fillId="0" borderId="0" xfId="0" applyFont="1" applyAlignment="1">
      <alignment horizontal="left" vertical="center" indent="1"/>
    </xf>
    <xf numFmtId="0" fontId="58" fillId="0" borderId="6" xfId="0" applyFont="1" applyBorder="1" applyAlignment="1">
      <alignment horizontal="center" vertical="center"/>
    </xf>
    <xf numFmtId="0" fontId="58" fillId="0" borderId="7" xfId="0" applyFont="1" applyBorder="1" applyAlignment="1">
      <alignment horizontal="center" vertical="center"/>
    </xf>
    <xf numFmtId="0" fontId="58" fillId="0" borderId="12" xfId="0" applyFont="1" applyBorder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12" fillId="0" borderId="33" xfId="0" applyFont="1" applyBorder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165" fontId="73" fillId="0" borderId="25" xfId="2" applyNumberFormat="1" applyFont="1" applyBorder="1" applyAlignment="1">
      <alignment horizontal="center" vertical="center"/>
    </xf>
    <xf numFmtId="165" fontId="73" fillId="0" borderId="26" xfId="2" applyNumberFormat="1" applyFont="1" applyBorder="1" applyAlignment="1">
      <alignment horizontal="center" vertical="center"/>
    </xf>
    <xf numFmtId="165" fontId="73" fillId="0" borderId="27" xfId="2" applyNumberFormat="1" applyFont="1" applyBorder="1" applyAlignment="1">
      <alignment horizontal="center" vertical="center"/>
    </xf>
    <xf numFmtId="165" fontId="73" fillId="0" borderId="23" xfId="2" applyNumberFormat="1" applyFont="1" applyBorder="1" applyAlignment="1">
      <alignment horizontal="center" vertical="center"/>
    </xf>
    <xf numFmtId="165" fontId="73" fillId="0" borderId="21" xfId="2" applyNumberFormat="1" applyFont="1" applyBorder="1" applyAlignment="1">
      <alignment horizontal="center" vertical="center"/>
    </xf>
    <xf numFmtId="165" fontId="73" fillId="0" borderId="24" xfId="2" applyNumberFormat="1" applyFont="1" applyBorder="1" applyAlignment="1">
      <alignment horizontal="center" vertical="center"/>
    </xf>
    <xf numFmtId="165" fontId="73" fillId="0" borderId="20" xfId="2" applyNumberFormat="1" applyFont="1" applyBorder="1" applyAlignment="1">
      <alignment horizontal="center" vertical="center"/>
    </xf>
    <xf numFmtId="165" fontId="73" fillId="0" borderId="22" xfId="2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/>
    </xf>
    <xf numFmtId="165" fontId="18" fillId="0" borderId="20" xfId="2" applyNumberFormat="1" applyFont="1" applyBorder="1" applyAlignment="1">
      <alignment horizontal="center" vertical="center"/>
    </xf>
    <xf numFmtId="165" fontId="18" fillId="0" borderId="21" xfId="2" applyNumberFormat="1" applyFont="1" applyBorder="1" applyAlignment="1">
      <alignment horizontal="center" vertical="center"/>
    </xf>
    <xf numFmtId="165" fontId="18" fillId="0" borderId="22" xfId="2" applyNumberFormat="1" applyFont="1" applyBorder="1" applyAlignment="1">
      <alignment horizontal="center" vertical="center"/>
    </xf>
    <xf numFmtId="165" fontId="9" fillId="0" borderId="37" xfId="2" applyNumberFormat="1" applyFont="1" applyBorder="1" applyAlignment="1">
      <alignment horizontal="left" vertical="center"/>
    </xf>
    <xf numFmtId="0" fontId="18" fillId="0" borderId="17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54" fillId="0" borderId="51" xfId="0" applyFont="1" applyBorder="1" applyAlignment="1">
      <alignment horizontal="center" vertical="center"/>
    </xf>
    <xf numFmtId="166" fontId="15" fillId="0" borderId="5" xfId="0" applyNumberFormat="1" applyFont="1" applyBorder="1" applyAlignment="1">
      <alignment horizontal="right" vertical="center"/>
    </xf>
    <xf numFmtId="2" fontId="9" fillId="0" borderId="38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right" vertical="center"/>
    </xf>
    <xf numFmtId="43" fontId="15" fillId="2" borderId="5" xfId="3" applyNumberFormat="1" applyFont="1" applyFill="1" applyBorder="1" applyAlignment="1">
      <alignment horizontal="right" vertical="center"/>
    </xf>
  </cellXfs>
  <cellStyles count="5">
    <cellStyle name="Comma" xfId="1" builtinId="3"/>
    <cellStyle name="Normal" xfId="0" builtinId="0"/>
    <cellStyle name="Normal 2" xfId="3" xr:uid="{CCF25A2C-C61A-47D9-B528-18BED7C7BD7B}"/>
    <cellStyle name="Normal 3" xfId="4" xr:uid="{8FBB931D-82A7-4E12-AE38-466122BC5A52}"/>
    <cellStyle name="Normal_Tab5.6" xfId="2" xr:uid="{417B5FD8-FC7B-41FA-AB89-0D6066C484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"/>
  <sheetViews>
    <sheetView topLeftCell="B5" workbookViewId="0">
      <selection activeCell="D11" sqref="D11"/>
    </sheetView>
  </sheetViews>
  <sheetFormatPr defaultRowHeight="14.5" x14ac:dyDescent="0.35"/>
  <cols>
    <col min="2" max="2" width="32.1796875" customWidth="1"/>
    <col min="3" max="4" width="16.90625" customWidth="1"/>
    <col min="5" max="5" width="16.26953125" customWidth="1"/>
    <col min="6" max="6" width="15.1796875" customWidth="1"/>
  </cols>
  <sheetData>
    <row r="1" spans="2:8" ht="21" x14ac:dyDescent="0.5">
      <c r="B1" s="63" t="s">
        <v>0</v>
      </c>
      <c r="C1" s="64"/>
      <c r="D1" s="65"/>
      <c r="E1" s="65"/>
      <c r="F1" s="55"/>
      <c r="G1" s="55"/>
      <c r="H1" s="55"/>
    </row>
    <row r="2" spans="2:8" ht="34.5" customHeight="1" thickBot="1" x14ac:dyDescent="0.4">
      <c r="B2" s="56"/>
      <c r="C2" s="358" t="s">
        <v>1</v>
      </c>
      <c r="D2" s="358"/>
      <c r="E2" s="358"/>
      <c r="F2" s="358"/>
    </row>
    <row r="3" spans="2:8" ht="41.5" customHeight="1" x14ac:dyDescent="0.35">
      <c r="B3" s="276" t="s">
        <v>2</v>
      </c>
      <c r="C3" s="277">
        <v>2017</v>
      </c>
      <c r="D3" s="278">
        <v>2019</v>
      </c>
      <c r="E3" s="278">
        <v>2021</v>
      </c>
      <c r="F3" s="279">
        <v>2022</v>
      </c>
    </row>
    <row r="4" spans="2:8" ht="49.5" customHeight="1" x14ac:dyDescent="0.35">
      <c r="B4" s="280" t="s">
        <v>3</v>
      </c>
      <c r="C4" s="213">
        <v>217</v>
      </c>
      <c r="D4" s="57">
        <f>(1/30)*18360</f>
        <v>612</v>
      </c>
      <c r="E4" s="58">
        <v>140.83000000000001</v>
      </c>
      <c r="F4" s="281">
        <v>232.37</v>
      </c>
    </row>
    <row r="5" spans="2:8" ht="46.5" customHeight="1" x14ac:dyDescent="0.35">
      <c r="B5" s="280" t="s">
        <v>4</v>
      </c>
      <c r="C5" s="356">
        <v>12061</v>
      </c>
      <c r="D5" s="58">
        <f>(9/30)*18360</f>
        <v>5508</v>
      </c>
      <c r="E5" s="58">
        <v>6640.48</v>
      </c>
      <c r="F5" s="282">
        <v>13570.4</v>
      </c>
    </row>
    <row r="6" spans="2:8" ht="49" customHeight="1" x14ac:dyDescent="0.35">
      <c r="B6" s="280" t="s">
        <v>5</v>
      </c>
      <c r="C6" s="356"/>
      <c r="D6" s="58">
        <f>(12/30)*18360</f>
        <v>7344</v>
      </c>
      <c r="E6" s="58">
        <v>439.89</v>
      </c>
      <c r="F6" s="281">
        <v>1023.51</v>
      </c>
    </row>
    <row r="7" spans="2:8" ht="50.5" customHeight="1" thickBot="1" x14ac:dyDescent="0.4">
      <c r="B7" s="283" t="s">
        <v>6</v>
      </c>
      <c r="C7" s="284">
        <v>12278</v>
      </c>
      <c r="D7" s="285">
        <f>SUM(D4:D6)</f>
        <v>13464</v>
      </c>
      <c r="E7" s="286">
        <v>7221.2</v>
      </c>
      <c r="F7" s="287">
        <v>14826.28</v>
      </c>
    </row>
    <row r="8" spans="2:8" ht="22" customHeight="1" x14ac:dyDescent="0.5">
      <c r="B8" s="59"/>
      <c r="C8" s="60"/>
      <c r="D8" s="61"/>
      <c r="E8" s="62"/>
      <c r="F8" s="55"/>
    </row>
    <row r="9" spans="2:8" ht="39.5" customHeight="1" x14ac:dyDescent="0.5">
      <c r="B9" s="357" t="s">
        <v>7</v>
      </c>
      <c r="C9" s="357"/>
      <c r="D9" s="357"/>
      <c r="E9" s="357"/>
      <c r="F9" s="55"/>
    </row>
    <row r="10" spans="2:8" ht="18.5" x14ac:dyDescent="0.45">
      <c r="B10" s="266" t="s">
        <v>311</v>
      </c>
    </row>
  </sheetData>
  <mergeCells count="3">
    <mergeCell ref="C5:C6"/>
    <mergeCell ref="B9:E9"/>
    <mergeCell ref="C2:F2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EA17-CF00-49B9-B41D-4CB57AFB1DC1}">
  <dimension ref="A1:I20"/>
  <sheetViews>
    <sheetView topLeftCell="A20" workbookViewId="0">
      <selection activeCell="H3" sqref="H3"/>
    </sheetView>
  </sheetViews>
  <sheetFormatPr defaultRowHeight="14.5" x14ac:dyDescent="0.35"/>
  <cols>
    <col min="1" max="1" width="50.453125" customWidth="1"/>
    <col min="5" max="5" width="8.08984375" customWidth="1"/>
    <col min="6" max="7" width="8" customWidth="1"/>
  </cols>
  <sheetData>
    <row r="1" spans="1:9" ht="18.5" x14ac:dyDescent="0.45">
      <c r="A1" s="359" t="s">
        <v>301</v>
      </c>
      <c r="B1" s="359"/>
      <c r="C1" s="359"/>
      <c r="D1" s="359"/>
      <c r="E1" s="359"/>
      <c r="F1" s="359"/>
      <c r="G1" s="214"/>
      <c r="H1" s="2"/>
    </row>
    <row r="2" spans="1:9" ht="15.5" x14ac:dyDescent="0.35">
      <c r="A2" s="1"/>
      <c r="B2" s="362"/>
      <c r="C2" s="362"/>
      <c r="D2" s="362"/>
      <c r="E2" s="362"/>
      <c r="F2" s="362"/>
      <c r="G2" s="362"/>
      <c r="H2" s="2"/>
    </row>
    <row r="3" spans="1:9" ht="15.5" x14ac:dyDescent="0.35">
      <c r="A3" s="67" t="s">
        <v>8</v>
      </c>
      <c r="B3" s="67" t="s">
        <v>9</v>
      </c>
      <c r="C3" s="67" t="s">
        <v>10</v>
      </c>
      <c r="D3" s="67" t="s">
        <v>11</v>
      </c>
      <c r="E3" s="68">
        <v>2020</v>
      </c>
      <c r="F3" s="69">
        <v>2021</v>
      </c>
      <c r="G3" s="69">
        <v>2022</v>
      </c>
      <c r="H3" s="3"/>
    </row>
    <row r="4" spans="1:9" ht="26.5" customHeight="1" x14ac:dyDescent="0.45">
      <c r="A4" s="86" t="s">
        <v>12</v>
      </c>
      <c r="B4" s="70">
        <v>0</v>
      </c>
      <c r="C4" s="70">
        <v>0</v>
      </c>
      <c r="D4" s="71">
        <v>0</v>
      </c>
      <c r="E4" s="72">
        <v>11</v>
      </c>
      <c r="F4" s="73">
        <v>11</v>
      </c>
      <c r="G4" s="215">
        <v>11</v>
      </c>
      <c r="H4" s="3"/>
    </row>
    <row r="5" spans="1:9" ht="24" customHeight="1" x14ac:dyDescent="0.45">
      <c r="A5" s="87" t="s">
        <v>13</v>
      </c>
      <c r="B5" s="74">
        <v>11</v>
      </c>
      <c r="C5" s="74">
        <v>11</v>
      </c>
      <c r="D5" s="75">
        <v>11</v>
      </c>
      <c r="E5" s="72">
        <v>2</v>
      </c>
      <c r="F5" s="90" t="s">
        <v>20</v>
      </c>
      <c r="G5" s="216" t="s">
        <v>20</v>
      </c>
      <c r="H5" s="3"/>
    </row>
    <row r="6" spans="1:9" ht="23" customHeight="1" x14ac:dyDescent="0.45">
      <c r="A6" s="87" t="s">
        <v>14</v>
      </c>
      <c r="B6" s="74">
        <v>11</v>
      </c>
      <c r="C6" s="74">
        <v>11</v>
      </c>
      <c r="D6" s="75">
        <v>11</v>
      </c>
      <c r="E6" s="72">
        <v>5</v>
      </c>
      <c r="F6" s="90" t="s">
        <v>20</v>
      </c>
      <c r="G6" s="216" t="s">
        <v>20</v>
      </c>
      <c r="H6" s="3"/>
    </row>
    <row r="7" spans="1:9" ht="23.5" customHeight="1" x14ac:dyDescent="0.45">
      <c r="A7" s="87" t="s">
        <v>15</v>
      </c>
      <c r="B7" s="74">
        <v>28</v>
      </c>
      <c r="C7" s="74">
        <v>30</v>
      </c>
      <c r="D7" s="75">
        <v>30</v>
      </c>
      <c r="E7" s="72"/>
      <c r="F7" s="73">
        <v>5</v>
      </c>
      <c r="G7" s="215">
        <v>27</v>
      </c>
      <c r="H7" s="360" t="s">
        <v>198</v>
      </c>
      <c r="I7" s="360"/>
    </row>
    <row r="8" spans="1:9" ht="24" customHeight="1" x14ac:dyDescent="0.45">
      <c r="A8" s="87" t="s">
        <v>16</v>
      </c>
      <c r="B8" s="74">
        <v>3</v>
      </c>
      <c r="C8" s="74">
        <v>3</v>
      </c>
      <c r="D8" s="75">
        <v>3</v>
      </c>
      <c r="E8" s="72">
        <v>3</v>
      </c>
      <c r="F8" s="73">
        <v>3</v>
      </c>
      <c r="G8" s="215">
        <v>2</v>
      </c>
      <c r="H8" s="66"/>
    </row>
    <row r="9" spans="1:9" ht="25.5" customHeight="1" x14ac:dyDescent="0.45">
      <c r="A9" s="87" t="s">
        <v>17</v>
      </c>
      <c r="B9" s="74">
        <v>19</v>
      </c>
      <c r="C9" s="74">
        <v>20</v>
      </c>
      <c r="D9" s="75">
        <v>20</v>
      </c>
      <c r="E9" s="72">
        <v>20</v>
      </c>
      <c r="F9" s="73">
        <v>2</v>
      </c>
      <c r="G9" s="215">
        <v>12</v>
      </c>
      <c r="H9" s="360" t="s">
        <v>198</v>
      </c>
      <c r="I9" s="360"/>
    </row>
    <row r="10" spans="1:9" ht="28" customHeight="1" x14ac:dyDescent="0.45">
      <c r="A10" s="88" t="s">
        <v>18</v>
      </c>
      <c r="B10" s="76">
        <v>6</v>
      </c>
      <c r="C10" s="76">
        <v>6</v>
      </c>
      <c r="D10" s="77">
        <v>6</v>
      </c>
      <c r="E10" s="72">
        <v>6</v>
      </c>
      <c r="F10" s="73">
        <v>6</v>
      </c>
      <c r="G10" s="215">
        <v>6</v>
      </c>
      <c r="H10" s="66"/>
    </row>
    <row r="11" spans="1:9" ht="27.5" customHeight="1" x14ac:dyDescent="0.45">
      <c r="A11" s="88" t="s">
        <v>19</v>
      </c>
      <c r="B11" s="76" t="s">
        <v>20</v>
      </c>
      <c r="C11" s="76" t="s">
        <v>20</v>
      </c>
      <c r="D11" s="77" t="s">
        <v>20</v>
      </c>
      <c r="E11" s="72">
        <v>5</v>
      </c>
      <c r="F11" s="73">
        <v>7</v>
      </c>
      <c r="G11" s="215">
        <v>7</v>
      </c>
      <c r="H11" s="66"/>
    </row>
    <row r="12" spans="1:9" ht="26.5" customHeight="1" x14ac:dyDescent="0.45">
      <c r="A12" s="88" t="s">
        <v>21</v>
      </c>
      <c r="B12" s="78">
        <v>12.1</v>
      </c>
      <c r="C12" s="78">
        <v>12.1</v>
      </c>
      <c r="D12" s="79">
        <v>12.1</v>
      </c>
      <c r="E12" s="72">
        <v>12.1</v>
      </c>
      <c r="F12" s="73">
        <v>37.299999999999997</v>
      </c>
      <c r="G12" s="215">
        <v>37.299999999999997</v>
      </c>
      <c r="H12" s="66"/>
    </row>
    <row r="13" spans="1:9" ht="26.5" customHeight="1" x14ac:dyDescent="0.45">
      <c r="A13" s="88" t="s">
        <v>22</v>
      </c>
      <c r="B13" s="80" t="s">
        <v>20</v>
      </c>
      <c r="C13" s="80" t="s">
        <v>20</v>
      </c>
      <c r="D13" s="81" t="s">
        <v>20</v>
      </c>
      <c r="E13" s="72">
        <v>30.24</v>
      </c>
      <c r="F13" s="73">
        <v>88</v>
      </c>
      <c r="G13" s="215">
        <v>88</v>
      </c>
      <c r="H13" s="361" t="s">
        <v>201</v>
      </c>
      <c r="I13" s="361"/>
    </row>
    <row r="14" spans="1:9" ht="25.5" customHeight="1" x14ac:dyDescent="0.45">
      <c r="A14" s="88" t="s">
        <v>23</v>
      </c>
      <c r="B14" s="80" t="s">
        <v>20</v>
      </c>
      <c r="C14" s="80" t="s">
        <v>20</v>
      </c>
      <c r="D14" s="81" t="s">
        <v>20</v>
      </c>
      <c r="E14" s="72">
        <v>60</v>
      </c>
      <c r="F14" s="73">
        <v>124</v>
      </c>
      <c r="G14" s="215">
        <v>124</v>
      </c>
      <c r="H14" s="2"/>
    </row>
    <row r="15" spans="1:9" ht="28.5" customHeight="1" x14ac:dyDescent="0.45">
      <c r="A15" s="88" t="s">
        <v>24</v>
      </c>
      <c r="B15" s="78">
        <v>1</v>
      </c>
      <c r="C15" s="78">
        <v>1</v>
      </c>
      <c r="D15" s="79">
        <v>1</v>
      </c>
      <c r="E15" s="72">
        <v>4</v>
      </c>
      <c r="F15" s="73">
        <v>2</v>
      </c>
      <c r="G15" s="215">
        <v>2</v>
      </c>
      <c r="H15" s="2"/>
    </row>
    <row r="16" spans="1:9" ht="27.5" customHeight="1" x14ac:dyDescent="0.45">
      <c r="A16" s="88" t="s">
        <v>25</v>
      </c>
      <c r="B16" s="78">
        <v>7</v>
      </c>
      <c r="C16" s="78">
        <v>8</v>
      </c>
      <c r="D16" s="79">
        <v>8</v>
      </c>
      <c r="E16" s="72">
        <v>8</v>
      </c>
      <c r="F16" s="73">
        <v>11</v>
      </c>
      <c r="G16" s="215">
        <v>11</v>
      </c>
      <c r="H16" s="2"/>
    </row>
    <row r="17" spans="1:8" ht="29.5" customHeight="1" x14ac:dyDescent="0.45">
      <c r="A17" s="89" t="s">
        <v>26</v>
      </c>
      <c r="B17" s="82">
        <v>52</v>
      </c>
      <c r="C17" s="82">
        <v>52</v>
      </c>
      <c r="D17" s="83">
        <v>52</v>
      </c>
      <c r="E17" s="84">
        <v>84</v>
      </c>
      <c r="F17" s="85">
        <v>52</v>
      </c>
      <c r="G17" s="217">
        <v>52</v>
      </c>
      <c r="H17" s="2"/>
    </row>
    <row r="18" spans="1:8" ht="18.5" customHeight="1" x14ac:dyDescent="0.35">
      <c r="A18" s="4" t="s">
        <v>27</v>
      </c>
      <c r="B18" s="2"/>
      <c r="C18" s="2"/>
      <c r="D18" s="2"/>
      <c r="E18" s="2"/>
      <c r="F18" s="2"/>
      <c r="G18" s="2"/>
      <c r="H18" s="2"/>
    </row>
    <row r="19" spans="1:8" ht="15.5" x14ac:dyDescent="0.35">
      <c r="A19" s="54" t="s">
        <v>199</v>
      </c>
    </row>
    <row r="20" spans="1:8" ht="23.5" customHeight="1" x14ac:dyDescent="0.35">
      <c r="A20" s="263" t="s">
        <v>28</v>
      </c>
    </row>
  </sheetData>
  <mergeCells count="5">
    <mergeCell ref="A1:F1"/>
    <mergeCell ref="H7:I7"/>
    <mergeCell ref="H9:I9"/>
    <mergeCell ref="H13:I13"/>
    <mergeCell ref="B2:G2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8278D-7E74-4B75-8E5F-369D399A76AA}">
  <dimension ref="A1:N22"/>
  <sheetViews>
    <sheetView workbookViewId="0">
      <pane ySplit="1" topLeftCell="A2" activePane="bottomLeft" state="frozen"/>
      <selection pane="bottomLeft" activeCell="M13" sqref="M13"/>
    </sheetView>
  </sheetViews>
  <sheetFormatPr defaultRowHeight="14.5" x14ac:dyDescent="0.35"/>
  <cols>
    <col min="2" max="2" width="25.54296875" customWidth="1"/>
    <col min="3" max="3" width="17.54296875" customWidth="1"/>
    <col min="4" max="4" width="11" hidden="1" customWidth="1"/>
    <col min="5" max="5" width="11.36328125" customWidth="1"/>
    <col min="6" max="6" width="11.36328125" bestFit="1" customWidth="1"/>
    <col min="7" max="7" width="11.6328125" customWidth="1"/>
    <col min="8" max="8" width="12.08984375" customWidth="1"/>
    <col min="9" max="9" width="12.453125" style="236" customWidth="1"/>
  </cols>
  <sheetData>
    <row r="1" spans="1:14" ht="18.5" x14ac:dyDescent="0.35">
      <c r="A1" s="363" t="s">
        <v>203</v>
      </c>
      <c r="B1" s="363"/>
      <c r="C1" s="363"/>
      <c r="D1" s="363"/>
      <c r="E1" s="363"/>
      <c r="F1" s="363"/>
      <c r="G1" s="363"/>
      <c r="H1" s="363"/>
      <c r="I1" s="363"/>
      <c r="J1" s="91"/>
      <c r="K1" s="7"/>
      <c r="L1" s="7"/>
      <c r="M1" s="7"/>
      <c r="N1" s="7"/>
    </row>
    <row r="2" spans="1:14" ht="16" thickBot="1" x14ac:dyDescent="0.4">
      <c r="B2" s="5"/>
      <c r="C2" s="6"/>
      <c r="D2" s="6"/>
      <c r="E2" s="6"/>
      <c r="F2" s="7"/>
      <c r="G2" s="7"/>
      <c r="H2" s="7"/>
      <c r="I2" s="6"/>
      <c r="J2" s="7"/>
      <c r="K2" s="7"/>
      <c r="L2" s="7"/>
      <c r="M2" s="7"/>
      <c r="N2" s="7"/>
    </row>
    <row r="3" spans="1:14" ht="16" thickBot="1" x14ac:dyDescent="0.4">
      <c r="B3" s="367" t="s">
        <v>29</v>
      </c>
      <c r="C3" s="368"/>
      <c r="D3" s="97">
        <v>2017</v>
      </c>
      <c r="E3" s="106">
        <v>2018</v>
      </c>
      <c r="F3" s="97">
        <v>2019</v>
      </c>
      <c r="G3" s="97">
        <v>2020</v>
      </c>
      <c r="H3" s="218">
        <v>2021</v>
      </c>
      <c r="I3" s="235">
        <v>2022</v>
      </c>
      <c r="K3" s="7"/>
      <c r="L3" s="7"/>
      <c r="M3" s="7"/>
      <c r="N3" s="7"/>
    </row>
    <row r="4" spans="1:14" ht="23" customHeight="1" x14ac:dyDescent="0.4">
      <c r="A4" s="92"/>
      <c r="B4" s="364" t="s">
        <v>30</v>
      </c>
      <c r="C4" s="94" t="s">
        <v>31</v>
      </c>
      <c r="D4" s="98">
        <v>37</v>
      </c>
      <c r="E4" s="107">
        <v>47.58</v>
      </c>
      <c r="F4" s="113">
        <v>9.51</v>
      </c>
      <c r="G4" s="119">
        <v>13.771286399999999</v>
      </c>
      <c r="H4" s="219">
        <v>5.04</v>
      </c>
      <c r="I4" s="233">
        <v>4.6500000000000004</v>
      </c>
      <c r="K4" s="7"/>
      <c r="L4" s="7"/>
      <c r="M4" s="7"/>
      <c r="N4" s="7"/>
    </row>
    <row r="5" spans="1:14" ht="22.5" customHeight="1" x14ac:dyDescent="0.4">
      <c r="A5" s="92"/>
      <c r="B5" s="365"/>
      <c r="C5" s="95" t="s">
        <v>32</v>
      </c>
      <c r="D5" s="99">
        <v>31000</v>
      </c>
      <c r="E5" s="108">
        <f>30.54*1000</f>
        <v>30540</v>
      </c>
      <c r="F5" s="114">
        <f>3.63515*1000</f>
        <v>3635.15</v>
      </c>
      <c r="G5" s="120">
        <f>6.61524493*1000</f>
        <v>6615.2449299999998</v>
      </c>
      <c r="H5" s="220">
        <f>3.04*1000</f>
        <v>3040</v>
      </c>
      <c r="I5" s="228">
        <v>2480</v>
      </c>
      <c r="K5" s="7"/>
      <c r="L5" s="7"/>
      <c r="M5" s="7"/>
      <c r="N5" s="7"/>
    </row>
    <row r="6" spans="1:14" ht="22.5" customHeight="1" thickBot="1" x14ac:dyDescent="0.4">
      <c r="A6" s="92"/>
      <c r="B6" s="366"/>
      <c r="C6" s="96" t="s">
        <v>33</v>
      </c>
      <c r="D6" s="100">
        <v>668</v>
      </c>
      <c r="E6" s="109">
        <f>E5/E4</f>
        <v>641.86633039092055</v>
      </c>
      <c r="F6" s="115">
        <f>F5/F4</f>
        <v>382.24500525762357</v>
      </c>
      <c r="G6" s="115">
        <f>G5/G4</f>
        <v>480.36506814642968</v>
      </c>
      <c r="H6" s="221">
        <f>H5/H4</f>
        <v>603.17460317460313</v>
      </c>
      <c r="I6" s="230">
        <v>533</v>
      </c>
      <c r="K6" s="7"/>
      <c r="L6" s="7"/>
      <c r="M6" s="7"/>
      <c r="N6" s="7"/>
    </row>
    <row r="7" spans="1:14" ht="19.5" customHeight="1" x14ac:dyDescent="0.4">
      <c r="A7" s="92"/>
      <c r="B7" s="369" t="s">
        <v>34</v>
      </c>
      <c r="C7" s="95" t="s">
        <v>31</v>
      </c>
      <c r="D7" s="98">
        <v>11</v>
      </c>
      <c r="E7" s="107">
        <v>34.659999999999997</v>
      </c>
      <c r="F7" s="98">
        <v>11.4</v>
      </c>
      <c r="G7" s="119">
        <v>8.3572751000000007</v>
      </c>
      <c r="H7" s="222">
        <v>9.5500000000000007</v>
      </c>
      <c r="I7" s="227">
        <v>7.19</v>
      </c>
      <c r="K7" s="7"/>
      <c r="L7" s="7"/>
      <c r="M7" s="7"/>
      <c r="N7" s="7"/>
    </row>
    <row r="8" spans="1:14" ht="20.5" customHeight="1" x14ac:dyDescent="0.4">
      <c r="A8" s="92"/>
      <c r="B8" s="365"/>
      <c r="C8" s="95" t="s">
        <v>32</v>
      </c>
      <c r="D8" s="99">
        <v>6000</v>
      </c>
      <c r="E8" s="108">
        <f>12.31*1000</f>
        <v>12310</v>
      </c>
      <c r="F8" s="99">
        <f>3.86*1000</f>
        <v>3860</v>
      </c>
      <c r="G8" s="121">
        <f>4.34574316*1000</f>
        <v>4345.74316</v>
      </c>
      <c r="H8" s="220">
        <f>5.17*1000</f>
        <v>5170</v>
      </c>
      <c r="I8" s="228">
        <v>3120</v>
      </c>
      <c r="K8" s="7"/>
      <c r="L8" s="7"/>
      <c r="M8" s="7"/>
      <c r="N8" s="7"/>
    </row>
    <row r="9" spans="1:14" ht="21" customHeight="1" thickBot="1" x14ac:dyDescent="0.4">
      <c r="A9" s="92"/>
      <c r="B9" s="366"/>
      <c r="C9" s="96" t="s">
        <v>33</v>
      </c>
      <c r="D9" s="101">
        <v>526</v>
      </c>
      <c r="E9" s="109">
        <f>E8/E7</f>
        <v>355.16445470282753</v>
      </c>
      <c r="F9" s="115">
        <f>F8/F7</f>
        <v>338.59649122807019</v>
      </c>
      <c r="G9" s="115">
        <f>G8/G7</f>
        <v>519.99522667382337</v>
      </c>
      <c r="H9" s="221">
        <f>H8/H7</f>
        <v>541.36125654450257</v>
      </c>
      <c r="I9" s="231">
        <v>434</v>
      </c>
      <c r="K9" s="7"/>
      <c r="L9" s="7"/>
      <c r="M9" s="7"/>
      <c r="N9" s="7"/>
    </row>
    <row r="10" spans="1:14" ht="24.5" customHeight="1" x14ac:dyDescent="0.4">
      <c r="A10" s="92"/>
      <c r="B10" s="370" t="s">
        <v>180</v>
      </c>
      <c r="C10" s="95" t="s">
        <v>31</v>
      </c>
      <c r="D10" s="98">
        <v>28</v>
      </c>
      <c r="E10" s="107">
        <f>27.13+11.43</f>
        <v>38.56</v>
      </c>
      <c r="F10" s="98">
        <f>27.26+14.41</f>
        <v>41.67</v>
      </c>
      <c r="G10" s="119">
        <f>26.9448796+9</f>
        <v>35.9448796</v>
      </c>
      <c r="H10" s="223">
        <f>6.43+8.3</f>
        <v>14.73</v>
      </c>
      <c r="I10" s="233">
        <v>27.05</v>
      </c>
      <c r="K10" s="7"/>
      <c r="L10" s="7"/>
      <c r="M10" s="7"/>
      <c r="N10" s="7"/>
    </row>
    <row r="11" spans="1:14" ht="22" customHeight="1" x14ac:dyDescent="0.35">
      <c r="A11" s="92"/>
      <c r="B11" s="371"/>
      <c r="C11" s="95" t="s">
        <v>32</v>
      </c>
      <c r="D11" s="102">
        <v>41000</v>
      </c>
      <c r="E11" s="108">
        <f>(31.74+5.27)*1000</f>
        <v>37010</v>
      </c>
      <c r="F11" s="99">
        <f>(32.62+3.97)*1000</f>
        <v>36589.999999999993</v>
      </c>
      <c r="G11" s="122">
        <f>(37.7+ 5.17)*1000</f>
        <v>42870.000000000007</v>
      </c>
      <c r="H11" s="224">
        <f>(1.43+7.84)*1000</f>
        <v>9270</v>
      </c>
      <c r="I11" s="229">
        <v>33090</v>
      </c>
      <c r="K11" s="7"/>
      <c r="L11" s="7"/>
      <c r="M11" s="7"/>
      <c r="N11" s="7"/>
    </row>
    <row r="12" spans="1:14" ht="21.5" customHeight="1" thickBot="1" x14ac:dyDescent="0.4">
      <c r="A12" s="92"/>
      <c r="B12" s="372"/>
      <c r="C12" s="96" t="s">
        <v>33</v>
      </c>
      <c r="D12" s="101">
        <v>1464</v>
      </c>
      <c r="E12" s="109">
        <f>E11/E10</f>
        <v>959.80290456431533</v>
      </c>
      <c r="F12" s="115">
        <f>F11/F10</f>
        <v>878.08975281977416</v>
      </c>
      <c r="G12" s="101">
        <f>G11/G10</f>
        <v>1192.6594407065425</v>
      </c>
      <c r="H12" s="225">
        <f>H11/H10</f>
        <v>629.3279022403259</v>
      </c>
      <c r="I12" s="232">
        <v>1223</v>
      </c>
      <c r="K12" s="7"/>
      <c r="L12" s="7"/>
      <c r="M12" s="7"/>
      <c r="N12" s="274"/>
    </row>
    <row r="13" spans="1:14" ht="24" customHeight="1" x14ac:dyDescent="0.4">
      <c r="A13" s="92"/>
      <c r="B13" s="369" t="s">
        <v>35</v>
      </c>
      <c r="C13" s="95" t="s">
        <v>31</v>
      </c>
      <c r="D13" s="103">
        <v>3964</v>
      </c>
      <c r="E13" s="107">
        <v>2692</v>
      </c>
      <c r="F13" s="116">
        <v>2662.5692079207925</v>
      </c>
      <c r="G13" s="123">
        <v>2165.57140214221</v>
      </c>
      <c r="H13" s="226">
        <v>1550.32</v>
      </c>
      <c r="I13" s="239">
        <v>1246.78</v>
      </c>
      <c r="K13" s="7"/>
      <c r="L13" s="7"/>
      <c r="M13" s="7"/>
      <c r="N13" s="7"/>
    </row>
    <row r="14" spans="1:14" ht="23" customHeight="1" x14ac:dyDescent="0.4">
      <c r="A14" s="92"/>
      <c r="B14" s="365"/>
      <c r="C14" s="95" t="s">
        <v>32</v>
      </c>
      <c r="D14" s="99">
        <v>4361000</v>
      </c>
      <c r="E14" s="108">
        <f>4554.87*1000</f>
        <v>4554870</v>
      </c>
      <c r="F14" s="117">
        <f>4407.50927085039*1000</f>
        <v>4407509.2708503902</v>
      </c>
      <c r="G14" s="121">
        <f>3436.33563528653*1000</f>
        <v>3436335.63528653</v>
      </c>
      <c r="H14" s="273">
        <f>4204.51*1000</f>
        <v>4204510</v>
      </c>
      <c r="I14" s="228">
        <v>2005020</v>
      </c>
      <c r="K14" s="7"/>
      <c r="L14" s="7"/>
      <c r="M14" s="7"/>
      <c r="N14" s="7"/>
    </row>
    <row r="15" spans="1:14" ht="22" customHeight="1" thickBot="1" x14ac:dyDescent="0.4">
      <c r="A15" s="92"/>
      <c r="B15" s="366"/>
      <c r="C15" s="96" t="s">
        <v>33</v>
      </c>
      <c r="D15" s="101">
        <v>1100</v>
      </c>
      <c r="E15" s="110">
        <f>E14/E13</f>
        <v>1692.0022288261516</v>
      </c>
      <c r="F15" s="115">
        <f>F14/F13</f>
        <v>1655.3595143137054</v>
      </c>
      <c r="G15" s="124">
        <f>G14/G13</f>
        <v>1586.8032020958831</v>
      </c>
      <c r="H15" s="221">
        <f>H14/H13</f>
        <v>2712.0271943856751</v>
      </c>
      <c r="I15" s="232">
        <v>1608</v>
      </c>
      <c r="K15" s="7"/>
      <c r="L15" s="7"/>
      <c r="M15" s="7"/>
      <c r="N15" s="7"/>
    </row>
    <row r="16" spans="1:14" ht="23.5" customHeight="1" x14ac:dyDescent="0.4">
      <c r="A16" s="92"/>
      <c r="B16" s="369" t="s">
        <v>36</v>
      </c>
      <c r="C16" s="95" t="s">
        <v>31</v>
      </c>
      <c r="D16" s="98">
        <v>265</v>
      </c>
      <c r="E16" s="107">
        <v>176.64</v>
      </c>
      <c r="F16" s="98">
        <v>152.44</v>
      </c>
      <c r="G16" s="119">
        <v>168.16507250000001</v>
      </c>
      <c r="H16" s="222">
        <v>77.92</v>
      </c>
      <c r="I16" s="233">
        <v>68.290000000000006</v>
      </c>
      <c r="K16" s="7"/>
      <c r="L16" s="7"/>
      <c r="M16" s="7"/>
      <c r="N16" s="7"/>
    </row>
    <row r="17" spans="1:14" ht="22" customHeight="1" x14ac:dyDescent="0.4">
      <c r="A17" s="92"/>
      <c r="B17" s="365"/>
      <c r="C17" s="95" t="s">
        <v>32</v>
      </c>
      <c r="D17" s="102">
        <v>62000</v>
      </c>
      <c r="E17" s="108">
        <f>76.78*1000</f>
        <v>76780</v>
      </c>
      <c r="F17" s="99">
        <f>54.44*1000</f>
        <v>54440</v>
      </c>
      <c r="G17" s="102">
        <f xml:space="preserve"> 61.1*1000</f>
        <v>61100</v>
      </c>
      <c r="H17" s="220">
        <f>47.37*1000</f>
        <v>47370</v>
      </c>
      <c r="I17" s="229">
        <v>27920</v>
      </c>
      <c r="K17" s="7"/>
      <c r="L17" s="7"/>
      <c r="M17" s="7"/>
      <c r="N17" s="7"/>
    </row>
    <row r="18" spans="1:14" ht="22" customHeight="1" thickBot="1" x14ac:dyDescent="0.4">
      <c r="A18" s="92"/>
      <c r="B18" s="373"/>
      <c r="C18" s="95" t="s">
        <v>33</v>
      </c>
      <c r="D18" s="104">
        <v>233</v>
      </c>
      <c r="E18" s="111">
        <f>E17/E16</f>
        <v>434.66938405797106</v>
      </c>
      <c r="F18" s="118">
        <f>F17/F16</f>
        <v>357.1241144056678</v>
      </c>
      <c r="G18" s="125">
        <f>G17/G16</f>
        <v>363.33347401851233</v>
      </c>
      <c r="H18" s="221">
        <f>H17/H16</f>
        <v>607.93121149897331</v>
      </c>
      <c r="I18" s="230">
        <v>409</v>
      </c>
      <c r="K18" s="7"/>
      <c r="L18" s="7"/>
      <c r="M18" s="7"/>
      <c r="N18" s="7"/>
    </row>
    <row r="19" spans="1:14" ht="21" customHeight="1" x14ac:dyDescent="0.4">
      <c r="A19" s="92"/>
      <c r="B19" s="364" t="s">
        <v>37</v>
      </c>
      <c r="C19" s="94" t="s">
        <v>31</v>
      </c>
      <c r="D19" s="105">
        <v>247</v>
      </c>
      <c r="E19" s="112">
        <v>104.43</v>
      </c>
      <c r="F19" s="105">
        <v>148.34</v>
      </c>
      <c r="G19" s="126">
        <v>124.6212543</v>
      </c>
      <c r="H19" s="219">
        <v>89.92</v>
      </c>
      <c r="I19" s="227">
        <v>62.31</v>
      </c>
      <c r="K19" s="7"/>
      <c r="L19" s="7"/>
      <c r="M19" s="7"/>
      <c r="N19" s="7"/>
    </row>
    <row r="20" spans="1:14" ht="21.5" customHeight="1" x14ac:dyDescent="0.4">
      <c r="A20" s="92"/>
      <c r="B20" s="365"/>
      <c r="C20" s="95" t="s">
        <v>32</v>
      </c>
      <c r="D20" s="102">
        <v>83000</v>
      </c>
      <c r="E20" s="108">
        <f>45.51*1000</f>
        <v>45510</v>
      </c>
      <c r="F20" s="99">
        <f>61.85*1000</f>
        <v>61850</v>
      </c>
      <c r="G20" s="102">
        <f xml:space="preserve"> 66.31*1000</f>
        <v>66310</v>
      </c>
      <c r="H20" s="220">
        <f>48.88*1000</f>
        <v>48880</v>
      </c>
      <c r="I20" s="229">
        <v>26780</v>
      </c>
      <c r="K20" s="7"/>
      <c r="L20" s="7"/>
      <c r="M20" s="7"/>
      <c r="N20" s="7"/>
    </row>
    <row r="21" spans="1:14" ht="22.5" customHeight="1" thickBot="1" x14ac:dyDescent="0.4">
      <c r="A21" s="92"/>
      <c r="B21" s="366"/>
      <c r="C21" s="96" t="s">
        <v>33</v>
      </c>
      <c r="D21" s="100">
        <v>336</v>
      </c>
      <c r="E21" s="109">
        <f>E20/E19</f>
        <v>435.79431197931626</v>
      </c>
      <c r="F21" s="115">
        <f>F20/F19</f>
        <v>416.9475529189699</v>
      </c>
      <c r="G21" s="124">
        <f>G20/G19</f>
        <v>532.09222112603948</v>
      </c>
      <c r="H21" s="221">
        <f>H20/H19</f>
        <v>543.59430604982208</v>
      </c>
      <c r="I21" s="230">
        <v>430</v>
      </c>
      <c r="K21" s="7"/>
      <c r="L21" s="7"/>
      <c r="M21" s="7"/>
      <c r="N21" s="7"/>
    </row>
    <row r="22" spans="1:14" ht="26" customHeight="1" x14ac:dyDescent="0.35">
      <c r="B22" s="93" t="s">
        <v>307</v>
      </c>
      <c r="C22" s="93"/>
      <c r="D22" s="93"/>
      <c r="E22" s="93"/>
      <c r="F22" s="7"/>
      <c r="G22" s="7"/>
      <c r="H22" s="7"/>
      <c r="I22" s="6"/>
      <c r="J22" s="7"/>
      <c r="K22" s="7"/>
      <c r="L22" s="7"/>
      <c r="M22" s="7"/>
      <c r="N22" s="7"/>
    </row>
  </sheetData>
  <mergeCells count="8">
    <mergeCell ref="A1:I1"/>
    <mergeCell ref="B19:B21"/>
    <mergeCell ref="B3:C3"/>
    <mergeCell ref="B4:B6"/>
    <mergeCell ref="B7:B9"/>
    <mergeCell ref="B10:B12"/>
    <mergeCell ref="B13:B15"/>
    <mergeCell ref="B16:B1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815F3-1644-4E24-AD47-C6D8644369AC}">
  <dimension ref="A1:G157"/>
  <sheetViews>
    <sheetView topLeftCell="A109" workbookViewId="0">
      <selection activeCell="J9" sqref="J9"/>
    </sheetView>
  </sheetViews>
  <sheetFormatPr defaultRowHeight="14.5" x14ac:dyDescent="0.35"/>
  <cols>
    <col min="1" max="1" width="6.453125" customWidth="1"/>
    <col min="2" max="2" width="44.90625" customWidth="1"/>
    <col min="3" max="3" width="12.6328125" style="251" customWidth="1"/>
    <col min="4" max="4" width="17.6328125" style="251" customWidth="1"/>
    <col min="5" max="5" width="23.36328125" customWidth="1"/>
  </cols>
  <sheetData>
    <row r="1" spans="1:7" ht="15.5" x14ac:dyDescent="0.35">
      <c r="A1" s="374" t="s">
        <v>204</v>
      </c>
      <c r="B1" s="374"/>
      <c r="C1" s="374"/>
      <c r="D1" s="374"/>
      <c r="E1" s="374"/>
      <c r="F1" s="374"/>
      <c r="G1" s="241"/>
    </row>
    <row r="2" spans="1:7" ht="16" thickBot="1" x14ac:dyDescent="0.4">
      <c r="A2" s="240"/>
      <c r="B2" s="242"/>
      <c r="C2" s="240"/>
      <c r="D2" s="240"/>
      <c r="E2" s="240"/>
      <c r="F2" s="240"/>
      <c r="G2" s="241"/>
    </row>
    <row r="3" spans="1:7" ht="16" thickBot="1" x14ac:dyDescent="0.4">
      <c r="A3" s="302" t="s">
        <v>202</v>
      </c>
      <c r="B3" s="303" t="s">
        <v>38</v>
      </c>
      <c r="C3" s="304" t="s">
        <v>39</v>
      </c>
      <c r="D3" s="305" t="s">
        <v>40</v>
      </c>
      <c r="E3" s="306" t="s">
        <v>41</v>
      </c>
      <c r="F3" s="241"/>
      <c r="G3" s="241"/>
    </row>
    <row r="4" spans="1:7" s="246" customFormat="1" x14ac:dyDescent="0.35">
      <c r="A4" s="288">
        <v>1</v>
      </c>
      <c r="B4" s="243" t="s">
        <v>205</v>
      </c>
      <c r="C4" s="245">
        <v>19</v>
      </c>
      <c r="D4" s="245">
        <v>2015</v>
      </c>
      <c r="E4" s="289" t="s">
        <v>42</v>
      </c>
    </row>
    <row r="5" spans="1:7" s="246" customFormat="1" x14ac:dyDescent="0.35">
      <c r="A5" s="288">
        <v>2</v>
      </c>
      <c r="B5" s="243" t="s">
        <v>206</v>
      </c>
      <c r="C5" s="245">
        <v>56</v>
      </c>
      <c r="D5" s="245">
        <v>2012</v>
      </c>
      <c r="E5" s="289" t="s">
        <v>42</v>
      </c>
    </row>
    <row r="6" spans="1:7" s="246" customFormat="1" x14ac:dyDescent="0.35">
      <c r="A6" s="288">
        <v>3</v>
      </c>
      <c r="B6" s="243" t="s">
        <v>207</v>
      </c>
      <c r="C6" s="245">
        <v>23</v>
      </c>
      <c r="D6" s="245">
        <v>2015</v>
      </c>
      <c r="E6" s="289" t="s">
        <v>42</v>
      </c>
      <c r="F6" s="375" t="s">
        <v>200</v>
      </c>
      <c r="G6" s="375"/>
    </row>
    <row r="7" spans="1:7" s="246" customFormat="1" x14ac:dyDescent="0.35">
      <c r="A7" s="288">
        <v>4</v>
      </c>
      <c r="B7" s="243" t="s">
        <v>208</v>
      </c>
      <c r="C7" s="245">
        <v>17</v>
      </c>
      <c r="D7" s="245">
        <v>2012</v>
      </c>
      <c r="E7" s="289" t="s">
        <v>42</v>
      </c>
    </row>
    <row r="8" spans="1:7" s="246" customFormat="1" x14ac:dyDescent="0.35">
      <c r="A8" s="288">
        <v>5</v>
      </c>
      <c r="B8" s="243" t="s">
        <v>209</v>
      </c>
      <c r="C8" s="245">
        <v>24</v>
      </c>
      <c r="D8" s="245">
        <v>2017</v>
      </c>
      <c r="E8" s="289" t="s">
        <v>42</v>
      </c>
    </row>
    <row r="9" spans="1:7" s="246" customFormat="1" x14ac:dyDescent="0.35">
      <c r="A9" s="288">
        <v>6</v>
      </c>
      <c r="B9" s="243" t="s">
        <v>210</v>
      </c>
      <c r="C9" s="245">
        <v>44</v>
      </c>
      <c r="D9" s="245">
        <v>2009</v>
      </c>
      <c r="E9" s="289" t="s">
        <v>42</v>
      </c>
    </row>
    <row r="10" spans="1:7" s="246" customFormat="1" x14ac:dyDescent="0.35">
      <c r="A10" s="288">
        <v>7</v>
      </c>
      <c r="B10" s="245" t="s">
        <v>211</v>
      </c>
      <c r="C10" s="245">
        <v>68</v>
      </c>
      <c r="D10" s="245">
        <v>2015</v>
      </c>
      <c r="E10" s="289" t="s">
        <v>42</v>
      </c>
    </row>
    <row r="11" spans="1:7" s="246" customFormat="1" x14ac:dyDescent="0.35">
      <c r="A11" s="288">
        <v>8</v>
      </c>
      <c r="B11" s="245" t="s">
        <v>212</v>
      </c>
      <c r="C11" s="245">
        <v>24</v>
      </c>
      <c r="D11" s="245">
        <v>2008</v>
      </c>
      <c r="E11" s="289" t="s">
        <v>42</v>
      </c>
    </row>
    <row r="12" spans="1:7" s="246" customFormat="1" x14ac:dyDescent="0.35">
      <c r="A12" s="288">
        <v>9</v>
      </c>
      <c r="B12" s="245" t="s">
        <v>213</v>
      </c>
      <c r="C12" s="245">
        <v>70</v>
      </c>
      <c r="D12" s="245">
        <v>2018</v>
      </c>
      <c r="E12" s="289" t="s">
        <v>42</v>
      </c>
    </row>
    <row r="13" spans="1:7" s="246" customFormat="1" x14ac:dyDescent="0.35">
      <c r="A13" s="288">
        <v>10</v>
      </c>
      <c r="B13" s="245" t="s">
        <v>214</v>
      </c>
      <c r="C13" s="245">
        <v>51</v>
      </c>
      <c r="D13" s="245">
        <v>2010</v>
      </c>
      <c r="E13" s="289" t="s">
        <v>42</v>
      </c>
    </row>
    <row r="14" spans="1:7" s="246" customFormat="1" x14ac:dyDescent="0.35">
      <c r="A14" s="288">
        <v>11</v>
      </c>
      <c r="B14" s="245" t="s">
        <v>215</v>
      </c>
      <c r="C14" s="245">
        <v>78</v>
      </c>
      <c r="D14" s="245">
        <v>2015</v>
      </c>
      <c r="E14" s="289" t="s">
        <v>42</v>
      </c>
    </row>
    <row r="15" spans="1:7" s="246" customFormat="1" x14ac:dyDescent="0.35">
      <c r="A15" s="288">
        <v>12</v>
      </c>
      <c r="B15" s="245" t="s">
        <v>216</v>
      </c>
      <c r="C15" s="245">
        <v>27</v>
      </c>
      <c r="D15" s="245">
        <v>2010</v>
      </c>
      <c r="E15" s="289" t="s">
        <v>42</v>
      </c>
    </row>
    <row r="16" spans="1:7" s="246" customFormat="1" x14ac:dyDescent="0.35">
      <c r="A16" s="288">
        <v>13</v>
      </c>
      <c r="B16" s="245" t="s">
        <v>217</v>
      </c>
      <c r="C16" s="245">
        <v>37</v>
      </c>
      <c r="D16" s="245">
        <v>2019</v>
      </c>
      <c r="E16" s="289" t="s">
        <v>42</v>
      </c>
    </row>
    <row r="17" spans="1:7" s="246" customFormat="1" x14ac:dyDescent="0.35">
      <c r="A17" s="288">
        <v>14</v>
      </c>
      <c r="B17" s="245" t="s">
        <v>218</v>
      </c>
      <c r="C17" s="245">
        <v>23</v>
      </c>
      <c r="D17" s="245">
        <v>2011</v>
      </c>
      <c r="E17" s="289" t="s">
        <v>42</v>
      </c>
    </row>
    <row r="18" spans="1:7" s="246" customFormat="1" x14ac:dyDescent="0.35">
      <c r="A18" s="288">
        <v>15</v>
      </c>
      <c r="B18" s="245" t="s">
        <v>219</v>
      </c>
      <c r="C18" s="245">
        <v>83</v>
      </c>
      <c r="D18" s="245">
        <v>2010</v>
      </c>
      <c r="E18" s="289" t="s">
        <v>42</v>
      </c>
    </row>
    <row r="19" spans="1:7" s="246" customFormat="1" x14ac:dyDescent="0.35">
      <c r="A19" s="288">
        <v>16</v>
      </c>
      <c r="B19" s="245" t="s">
        <v>220</v>
      </c>
      <c r="C19" s="245">
        <v>119</v>
      </c>
      <c r="D19" s="245">
        <v>2017</v>
      </c>
      <c r="E19" s="289" t="s">
        <v>42</v>
      </c>
    </row>
    <row r="20" spans="1:7" s="246" customFormat="1" x14ac:dyDescent="0.35">
      <c r="A20" s="288">
        <v>17</v>
      </c>
      <c r="B20" s="245" t="s">
        <v>221</v>
      </c>
      <c r="C20" s="245">
        <v>91</v>
      </c>
      <c r="D20" s="245">
        <v>2015</v>
      </c>
      <c r="E20" s="289" t="s">
        <v>42</v>
      </c>
    </row>
    <row r="21" spans="1:7" s="247" customFormat="1" x14ac:dyDescent="0.35">
      <c r="A21" s="288">
        <v>18</v>
      </c>
      <c r="B21" s="245" t="s">
        <v>222</v>
      </c>
      <c r="C21" s="245">
        <v>135</v>
      </c>
      <c r="D21" s="245">
        <v>2009</v>
      </c>
      <c r="E21" s="289" t="s">
        <v>42</v>
      </c>
      <c r="F21" s="246"/>
      <c r="G21" s="246"/>
    </row>
    <row r="22" spans="1:7" s="247" customFormat="1" x14ac:dyDescent="0.35">
      <c r="A22" s="288">
        <v>19</v>
      </c>
      <c r="B22" s="245" t="s">
        <v>223</v>
      </c>
      <c r="C22" s="245">
        <v>47</v>
      </c>
      <c r="D22" s="245">
        <v>2020</v>
      </c>
      <c r="E22" s="289" t="s">
        <v>42</v>
      </c>
      <c r="F22" s="246"/>
      <c r="G22" s="246"/>
    </row>
    <row r="23" spans="1:7" s="247" customFormat="1" x14ac:dyDescent="0.35">
      <c r="A23" s="288">
        <v>20</v>
      </c>
      <c r="B23" s="245" t="s">
        <v>224</v>
      </c>
      <c r="C23" s="245">
        <v>50</v>
      </c>
      <c r="D23" s="245">
        <v>2012</v>
      </c>
      <c r="E23" s="289" t="s">
        <v>42</v>
      </c>
      <c r="F23" s="246"/>
      <c r="G23" s="246"/>
    </row>
    <row r="24" spans="1:7" s="247" customFormat="1" x14ac:dyDescent="0.35">
      <c r="A24" s="288">
        <v>21</v>
      </c>
      <c r="B24" s="245" t="s">
        <v>225</v>
      </c>
      <c r="C24" s="245">
        <v>12</v>
      </c>
      <c r="D24" s="245">
        <v>2012</v>
      </c>
      <c r="E24" s="289" t="s">
        <v>42</v>
      </c>
      <c r="F24" s="246"/>
      <c r="G24" s="246"/>
    </row>
    <row r="25" spans="1:7" s="247" customFormat="1" x14ac:dyDescent="0.35">
      <c r="A25" s="288">
        <v>22</v>
      </c>
      <c r="B25" s="245" t="s">
        <v>226</v>
      </c>
      <c r="C25" s="245">
        <v>18</v>
      </c>
      <c r="D25" s="245">
        <v>2015</v>
      </c>
      <c r="E25" s="289" t="s">
        <v>42</v>
      </c>
      <c r="F25" s="246"/>
      <c r="G25" s="246"/>
    </row>
    <row r="26" spans="1:7" s="246" customFormat="1" x14ac:dyDescent="0.35">
      <c r="A26" s="288">
        <v>23</v>
      </c>
      <c r="B26" s="245" t="s">
        <v>227</v>
      </c>
      <c r="C26" s="245">
        <v>24</v>
      </c>
      <c r="D26" s="245">
        <v>2010</v>
      </c>
      <c r="E26" s="289" t="s">
        <v>42</v>
      </c>
    </row>
    <row r="27" spans="1:7" s="246" customFormat="1" x14ac:dyDescent="0.35">
      <c r="A27" s="288">
        <v>24</v>
      </c>
      <c r="B27" s="245" t="s">
        <v>228</v>
      </c>
      <c r="C27" s="245">
        <v>36</v>
      </c>
      <c r="D27" s="245">
        <v>2011</v>
      </c>
      <c r="E27" s="289" t="s">
        <v>42</v>
      </c>
    </row>
    <row r="28" spans="1:7" s="246" customFormat="1" x14ac:dyDescent="0.35">
      <c r="A28" s="288">
        <v>25</v>
      </c>
      <c r="B28" s="245" t="s">
        <v>229</v>
      </c>
      <c r="C28" s="245">
        <v>38</v>
      </c>
      <c r="D28" s="245">
        <v>2015</v>
      </c>
      <c r="E28" s="289" t="s">
        <v>42</v>
      </c>
    </row>
    <row r="29" spans="1:7" s="246" customFormat="1" x14ac:dyDescent="0.35">
      <c r="A29" s="288">
        <v>26</v>
      </c>
      <c r="B29" s="245" t="s">
        <v>230</v>
      </c>
      <c r="C29" s="245">
        <v>34</v>
      </c>
      <c r="D29" s="245">
        <v>2012</v>
      </c>
      <c r="E29" s="289" t="s">
        <v>42</v>
      </c>
    </row>
    <row r="30" spans="1:7" s="246" customFormat="1" x14ac:dyDescent="0.35">
      <c r="A30" s="288">
        <v>27</v>
      </c>
      <c r="B30" s="245" t="s">
        <v>231</v>
      </c>
      <c r="C30" s="245">
        <v>17</v>
      </c>
      <c r="D30" s="245">
        <v>2013</v>
      </c>
      <c r="E30" s="289" t="s">
        <v>42</v>
      </c>
    </row>
    <row r="31" spans="1:7" s="246" customFormat="1" x14ac:dyDescent="0.35">
      <c r="A31" s="288">
        <v>28</v>
      </c>
      <c r="B31" s="245" t="s">
        <v>232</v>
      </c>
      <c r="C31" s="245">
        <v>83</v>
      </c>
      <c r="D31" s="244">
        <v>2012</v>
      </c>
      <c r="E31" s="289" t="s">
        <v>42</v>
      </c>
    </row>
    <row r="32" spans="1:7" s="246" customFormat="1" x14ac:dyDescent="0.35">
      <c r="A32" s="288">
        <v>29</v>
      </c>
      <c r="B32" s="244" t="s">
        <v>233</v>
      </c>
      <c r="C32" s="245">
        <v>82</v>
      </c>
      <c r="D32" s="290">
        <v>2015</v>
      </c>
      <c r="E32" s="291" t="s">
        <v>42</v>
      </c>
    </row>
    <row r="33" spans="1:7" s="246" customFormat="1" x14ac:dyDescent="0.35">
      <c r="A33" s="288">
        <v>30</v>
      </c>
      <c r="B33" s="244" t="s">
        <v>234</v>
      </c>
      <c r="C33" s="245">
        <v>113</v>
      </c>
      <c r="D33" s="290">
        <v>2018</v>
      </c>
      <c r="E33" s="291" t="s">
        <v>42</v>
      </c>
    </row>
    <row r="34" spans="1:7" s="246" customFormat="1" x14ac:dyDescent="0.35">
      <c r="A34" s="288">
        <v>31</v>
      </c>
      <c r="B34" s="244" t="s">
        <v>235</v>
      </c>
      <c r="C34" s="245">
        <v>16</v>
      </c>
      <c r="D34" s="244">
        <v>2012</v>
      </c>
      <c r="E34" s="289" t="s">
        <v>42</v>
      </c>
    </row>
    <row r="35" spans="1:7" s="246" customFormat="1" x14ac:dyDescent="0.35">
      <c r="A35" s="288">
        <v>32</v>
      </c>
      <c r="B35" s="244" t="s">
        <v>236</v>
      </c>
      <c r="C35" s="245">
        <v>17</v>
      </c>
      <c r="D35" s="244">
        <v>2012</v>
      </c>
      <c r="E35" s="289" t="s">
        <v>42</v>
      </c>
    </row>
    <row r="36" spans="1:7" s="246" customFormat="1" x14ac:dyDescent="0.35">
      <c r="A36" s="288">
        <v>33</v>
      </c>
      <c r="B36" s="244" t="s">
        <v>237</v>
      </c>
      <c r="C36" s="245">
        <v>54</v>
      </c>
      <c r="D36" s="245">
        <v>2010</v>
      </c>
      <c r="E36" s="289" t="s">
        <v>42</v>
      </c>
    </row>
    <row r="37" spans="1:7" s="246" customFormat="1" x14ac:dyDescent="0.35">
      <c r="A37" s="288">
        <v>34</v>
      </c>
      <c r="B37" s="244" t="s">
        <v>238</v>
      </c>
      <c r="C37" s="245">
        <v>13</v>
      </c>
      <c r="D37" s="245">
        <v>2012</v>
      </c>
      <c r="E37" s="289" t="s">
        <v>42</v>
      </c>
    </row>
    <row r="38" spans="1:7" s="246" customFormat="1" x14ac:dyDescent="0.35">
      <c r="A38" s="288">
        <v>35</v>
      </c>
      <c r="B38" s="245" t="s">
        <v>239</v>
      </c>
      <c r="C38" s="245">
        <v>29</v>
      </c>
      <c r="D38" s="245">
        <v>2012</v>
      </c>
      <c r="E38" s="289" t="s">
        <v>42</v>
      </c>
    </row>
    <row r="39" spans="1:7" s="246" customFormat="1" x14ac:dyDescent="0.35">
      <c r="A39" s="288">
        <v>36</v>
      </c>
      <c r="B39" s="245" t="s">
        <v>240</v>
      </c>
      <c r="C39" s="245">
        <v>46</v>
      </c>
      <c r="D39" s="245">
        <v>2013</v>
      </c>
      <c r="E39" s="289" t="s">
        <v>42</v>
      </c>
    </row>
    <row r="40" spans="1:7" s="246" customFormat="1" x14ac:dyDescent="0.35">
      <c r="A40" s="288">
        <v>37</v>
      </c>
      <c r="B40" s="245" t="s">
        <v>241</v>
      </c>
      <c r="C40" s="245">
        <v>57</v>
      </c>
      <c r="D40" s="245">
        <v>2019</v>
      </c>
      <c r="E40" s="289" t="s">
        <v>42</v>
      </c>
    </row>
    <row r="41" spans="1:7" s="246" customFormat="1" x14ac:dyDescent="0.35">
      <c r="A41" s="288">
        <v>38</v>
      </c>
      <c r="B41" s="245" t="s">
        <v>242</v>
      </c>
      <c r="C41" s="245">
        <v>62</v>
      </c>
      <c r="D41" s="245">
        <v>2008</v>
      </c>
      <c r="E41" s="289" t="s">
        <v>42</v>
      </c>
    </row>
    <row r="42" spans="1:7" s="246" customFormat="1" x14ac:dyDescent="0.35">
      <c r="A42" s="288">
        <v>39</v>
      </c>
      <c r="B42" s="245" t="s">
        <v>243</v>
      </c>
      <c r="C42" s="245">
        <v>58</v>
      </c>
      <c r="D42" s="245">
        <v>2015</v>
      </c>
      <c r="E42" s="289" t="s">
        <v>42</v>
      </c>
    </row>
    <row r="43" spans="1:7" s="246" customFormat="1" x14ac:dyDescent="0.35">
      <c r="A43" s="288">
        <v>40</v>
      </c>
      <c r="B43" s="245" t="s">
        <v>244</v>
      </c>
      <c r="C43" s="245">
        <v>46</v>
      </c>
      <c r="D43" s="245">
        <v>2013</v>
      </c>
      <c r="E43" s="289" t="s">
        <v>42</v>
      </c>
    </row>
    <row r="44" spans="1:7" s="246" customFormat="1" x14ac:dyDescent="0.35">
      <c r="A44" s="288">
        <v>41</v>
      </c>
      <c r="B44" s="245" t="s">
        <v>245</v>
      </c>
      <c r="C44" s="245">
        <v>22</v>
      </c>
      <c r="D44" s="245">
        <v>2012</v>
      </c>
      <c r="E44" s="289" t="s">
        <v>42</v>
      </c>
    </row>
    <row r="45" spans="1:7" s="248" customFormat="1" x14ac:dyDescent="0.35">
      <c r="A45" s="288">
        <v>42</v>
      </c>
      <c r="B45" s="245" t="s">
        <v>246</v>
      </c>
      <c r="C45" s="245">
        <v>47</v>
      </c>
      <c r="D45" s="245">
        <v>2014</v>
      </c>
      <c r="E45" s="289" t="s">
        <v>42</v>
      </c>
      <c r="F45" s="246"/>
      <c r="G45" s="246"/>
    </row>
    <row r="46" spans="1:7" s="248" customFormat="1" x14ac:dyDescent="0.35">
      <c r="A46" s="288">
        <v>43</v>
      </c>
      <c r="B46" s="245" t="s">
        <v>247</v>
      </c>
      <c r="C46" s="245">
        <v>24</v>
      </c>
      <c r="D46" s="245">
        <v>2017</v>
      </c>
      <c r="E46" s="289" t="s">
        <v>42</v>
      </c>
      <c r="F46" s="246"/>
      <c r="G46" s="246"/>
    </row>
    <row r="47" spans="1:7" s="248" customFormat="1" x14ac:dyDescent="0.35">
      <c r="A47" s="288">
        <v>44</v>
      </c>
      <c r="B47" s="245" t="s">
        <v>248</v>
      </c>
      <c r="C47" s="245">
        <v>43</v>
      </c>
      <c r="D47" s="245">
        <v>2013</v>
      </c>
      <c r="E47" s="289" t="s">
        <v>42</v>
      </c>
      <c r="F47" s="246"/>
      <c r="G47" s="246"/>
    </row>
    <row r="48" spans="1:7" s="248" customFormat="1" x14ac:dyDescent="0.35">
      <c r="A48" s="288">
        <v>45</v>
      </c>
      <c r="B48" s="245" t="s">
        <v>249</v>
      </c>
      <c r="C48" s="245">
        <v>59</v>
      </c>
      <c r="D48" s="245">
        <v>2010</v>
      </c>
      <c r="E48" s="289" t="s">
        <v>42</v>
      </c>
      <c r="F48" s="246"/>
      <c r="G48" s="246"/>
    </row>
    <row r="49" spans="1:7" s="248" customFormat="1" x14ac:dyDescent="0.35">
      <c r="A49" s="288">
        <v>46</v>
      </c>
      <c r="B49" s="245" t="s">
        <v>250</v>
      </c>
      <c r="C49" s="245">
        <v>12</v>
      </c>
      <c r="D49" s="245">
        <v>2017</v>
      </c>
      <c r="E49" s="289" t="s">
        <v>42</v>
      </c>
      <c r="F49" s="246"/>
      <c r="G49" s="246"/>
    </row>
    <row r="50" spans="1:7" s="248" customFormat="1" x14ac:dyDescent="0.35">
      <c r="A50" s="288">
        <v>47</v>
      </c>
      <c r="B50" s="245" t="s">
        <v>251</v>
      </c>
      <c r="C50" s="245">
        <v>37</v>
      </c>
      <c r="D50" s="245">
        <v>2018</v>
      </c>
      <c r="E50" s="289" t="s">
        <v>42</v>
      </c>
      <c r="F50" s="246"/>
      <c r="G50" s="246"/>
    </row>
    <row r="51" spans="1:7" s="249" customFormat="1" x14ac:dyDescent="0.35">
      <c r="A51" s="288">
        <v>48</v>
      </c>
      <c r="B51" s="245" t="s">
        <v>252</v>
      </c>
      <c r="C51" s="245">
        <v>31</v>
      </c>
      <c r="D51" s="245">
        <v>2012</v>
      </c>
      <c r="E51" s="289" t="s">
        <v>42</v>
      </c>
      <c r="F51" s="246"/>
      <c r="G51" s="246"/>
    </row>
    <row r="52" spans="1:7" s="246" customFormat="1" x14ac:dyDescent="0.35">
      <c r="A52" s="288">
        <v>49</v>
      </c>
      <c r="B52" s="245" t="s">
        <v>253</v>
      </c>
      <c r="C52" s="245">
        <v>73</v>
      </c>
      <c r="D52" s="245">
        <v>2013</v>
      </c>
      <c r="E52" s="289" t="s">
        <v>42</v>
      </c>
    </row>
    <row r="53" spans="1:7" s="246" customFormat="1" x14ac:dyDescent="0.35">
      <c r="A53" s="288">
        <v>50</v>
      </c>
      <c r="B53" s="245" t="s">
        <v>254</v>
      </c>
      <c r="C53" s="245">
        <v>77</v>
      </c>
      <c r="D53" s="245">
        <v>2017</v>
      </c>
      <c r="E53" s="289" t="s">
        <v>42</v>
      </c>
    </row>
    <row r="54" spans="1:7" s="246" customFormat="1" x14ac:dyDescent="0.35">
      <c r="A54" s="288">
        <v>51</v>
      </c>
      <c r="B54" s="245" t="s">
        <v>255</v>
      </c>
      <c r="C54" s="245">
        <v>11</v>
      </c>
      <c r="D54" s="245">
        <v>2018</v>
      </c>
      <c r="E54" s="289" t="s">
        <v>42</v>
      </c>
    </row>
    <row r="55" spans="1:7" s="246" customFormat="1" x14ac:dyDescent="0.35">
      <c r="A55" s="288">
        <v>52</v>
      </c>
      <c r="B55" s="245" t="s">
        <v>256</v>
      </c>
      <c r="C55" s="245">
        <v>64</v>
      </c>
      <c r="D55" s="245">
        <v>2010</v>
      </c>
      <c r="E55" s="289" t="s">
        <v>42</v>
      </c>
    </row>
    <row r="56" spans="1:7" s="246" customFormat="1" x14ac:dyDescent="0.35">
      <c r="A56" s="288">
        <v>53</v>
      </c>
      <c r="B56" s="245" t="s">
        <v>257</v>
      </c>
      <c r="C56" s="245">
        <v>43</v>
      </c>
      <c r="D56" s="245">
        <v>2010</v>
      </c>
      <c r="E56" s="289" t="s">
        <v>42</v>
      </c>
    </row>
    <row r="57" spans="1:7" s="246" customFormat="1" x14ac:dyDescent="0.35">
      <c r="A57" s="288">
        <v>54</v>
      </c>
      <c r="B57" s="245" t="s">
        <v>258</v>
      </c>
      <c r="C57" s="245">
        <v>46</v>
      </c>
      <c r="D57" s="245">
        <v>2013</v>
      </c>
      <c r="E57" s="289" t="s">
        <v>42</v>
      </c>
    </row>
    <row r="58" spans="1:7" s="246" customFormat="1" x14ac:dyDescent="0.35">
      <c r="A58" s="288">
        <v>55</v>
      </c>
      <c r="B58" s="245" t="s">
        <v>259</v>
      </c>
      <c r="C58" s="245">
        <v>13</v>
      </c>
      <c r="D58" s="245">
        <v>2011</v>
      </c>
      <c r="E58" s="289" t="s">
        <v>42</v>
      </c>
    </row>
    <row r="59" spans="1:7" s="246" customFormat="1" x14ac:dyDescent="0.35">
      <c r="A59" s="288">
        <v>56</v>
      </c>
      <c r="B59" s="245" t="s">
        <v>260</v>
      </c>
      <c r="C59" s="245">
        <v>17</v>
      </c>
      <c r="D59" s="245">
        <v>2013</v>
      </c>
      <c r="E59" s="289" t="s">
        <v>42</v>
      </c>
    </row>
    <row r="60" spans="1:7" s="246" customFormat="1" x14ac:dyDescent="0.35">
      <c r="A60" s="288">
        <v>57</v>
      </c>
      <c r="B60" s="245" t="s">
        <v>261</v>
      </c>
      <c r="C60" s="245">
        <v>44</v>
      </c>
      <c r="D60" s="245">
        <v>2009</v>
      </c>
      <c r="E60" s="289" t="s">
        <v>42</v>
      </c>
    </row>
    <row r="61" spans="1:7" s="246" customFormat="1" x14ac:dyDescent="0.35">
      <c r="A61" s="288">
        <v>58</v>
      </c>
      <c r="B61" s="244" t="s">
        <v>262</v>
      </c>
      <c r="C61" s="245">
        <v>8</v>
      </c>
      <c r="D61" s="245">
        <v>2021</v>
      </c>
      <c r="E61" s="289" t="s">
        <v>42</v>
      </c>
    </row>
    <row r="62" spans="1:7" s="246" customFormat="1" x14ac:dyDescent="0.35">
      <c r="A62" s="288">
        <v>59</v>
      </c>
      <c r="B62" s="244" t="s">
        <v>263</v>
      </c>
      <c r="C62" s="245">
        <v>34</v>
      </c>
      <c r="D62" s="245">
        <v>2017</v>
      </c>
      <c r="E62" s="289" t="s">
        <v>42</v>
      </c>
    </row>
    <row r="63" spans="1:7" s="246" customFormat="1" x14ac:dyDescent="0.35">
      <c r="A63" s="288">
        <v>60</v>
      </c>
      <c r="B63" s="244" t="s">
        <v>264</v>
      </c>
      <c r="C63" s="245">
        <v>9</v>
      </c>
      <c r="D63" s="245">
        <v>2015</v>
      </c>
      <c r="E63" s="289" t="s">
        <v>42</v>
      </c>
    </row>
    <row r="64" spans="1:7" s="246" customFormat="1" x14ac:dyDescent="0.35">
      <c r="A64" s="288">
        <v>61</v>
      </c>
      <c r="B64" s="244" t="s">
        <v>265</v>
      </c>
      <c r="C64" s="245">
        <v>31</v>
      </c>
      <c r="D64" s="245">
        <v>2017</v>
      </c>
      <c r="E64" s="289" t="s">
        <v>42</v>
      </c>
    </row>
    <row r="65" spans="1:5" s="246" customFormat="1" x14ac:dyDescent="0.35">
      <c r="A65" s="288">
        <v>62</v>
      </c>
      <c r="B65" s="244" t="s">
        <v>266</v>
      </c>
      <c r="C65" s="245">
        <v>39</v>
      </c>
      <c r="D65" s="245">
        <v>2017</v>
      </c>
      <c r="E65" s="289" t="s">
        <v>42</v>
      </c>
    </row>
    <row r="66" spans="1:5" s="246" customFormat="1" x14ac:dyDescent="0.35">
      <c r="A66" s="288">
        <v>63</v>
      </c>
      <c r="B66" s="244" t="s">
        <v>267</v>
      </c>
      <c r="C66" s="245">
        <v>36</v>
      </c>
      <c r="D66" s="245">
        <v>2021</v>
      </c>
      <c r="E66" s="289" t="s">
        <v>42</v>
      </c>
    </row>
    <row r="67" spans="1:5" s="246" customFormat="1" x14ac:dyDescent="0.35">
      <c r="A67" s="288">
        <v>64</v>
      </c>
      <c r="B67" s="245" t="s">
        <v>268</v>
      </c>
      <c r="C67" s="245">
        <v>20</v>
      </c>
      <c r="D67" s="245">
        <v>2011</v>
      </c>
      <c r="E67" s="289" t="s">
        <v>42</v>
      </c>
    </row>
    <row r="68" spans="1:5" s="246" customFormat="1" x14ac:dyDescent="0.35">
      <c r="A68" s="288">
        <v>65</v>
      </c>
      <c r="B68" s="245" t="s">
        <v>269</v>
      </c>
      <c r="C68" s="245">
        <v>10</v>
      </c>
      <c r="D68" s="245">
        <v>2015</v>
      </c>
      <c r="E68" s="289" t="s">
        <v>42</v>
      </c>
    </row>
    <row r="69" spans="1:5" s="246" customFormat="1" x14ac:dyDescent="0.35">
      <c r="A69" s="288">
        <v>66</v>
      </c>
      <c r="B69" s="245" t="s">
        <v>270</v>
      </c>
      <c r="C69" s="245">
        <v>31</v>
      </c>
      <c r="D69" s="245">
        <v>2016</v>
      </c>
      <c r="E69" s="289" t="s">
        <v>42</v>
      </c>
    </row>
    <row r="70" spans="1:5" s="246" customFormat="1" x14ac:dyDescent="0.35">
      <c r="A70" s="288">
        <v>67</v>
      </c>
      <c r="B70" s="245" t="s">
        <v>271</v>
      </c>
      <c r="C70" s="245">
        <v>28</v>
      </c>
      <c r="D70" s="245">
        <v>2021</v>
      </c>
      <c r="E70" s="289" t="s">
        <v>42</v>
      </c>
    </row>
    <row r="71" spans="1:5" s="246" customFormat="1" x14ac:dyDescent="0.35">
      <c r="A71" s="288">
        <v>68</v>
      </c>
      <c r="B71" s="245" t="s">
        <v>272</v>
      </c>
      <c r="C71" s="245">
        <v>17</v>
      </c>
      <c r="D71" s="245">
        <v>2013</v>
      </c>
      <c r="E71" s="289" t="s">
        <v>42</v>
      </c>
    </row>
    <row r="72" spans="1:5" s="246" customFormat="1" x14ac:dyDescent="0.35">
      <c r="A72" s="288">
        <v>69</v>
      </c>
      <c r="B72" s="245" t="s">
        <v>273</v>
      </c>
      <c r="C72" s="245">
        <v>33</v>
      </c>
      <c r="D72" s="245">
        <v>2015</v>
      </c>
      <c r="E72" s="289" t="s">
        <v>42</v>
      </c>
    </row>
    <row r="73" spans="1:5" s="246" customFormat="1" x14ac:dyDescent="0.35">
      <c r="A73" s="288">
        <v>70</v>
      </c>
      <c r="B73" s="245" t="s">
        <v>274</v>
      </c>
      <c r="C73" s="245">
        <v>32</v>
      </c>
      <c r="D73" s="245">
        <v>2015</v>
      </c>
      <c r="E73" s="289" t="s">
        <v>42</v>
      </c>
    </row>
    <row r="74" spans="1:5" s="246" customFormat="1" x14ac:dyDescent="0.35">
      <c r="A74" s="288">
        <v>71</v>
      </c>
      <c r="B74" s="245" t="s">
        <v>275</v>
      </c>
      <c r="C74" s="245">
        <v>10</v>
      </c>
      <c r="D74" s="245">
        <v>2021</v>
      </c>
      <c r="E74" s="289" t="s">
        <v>42</v>
      </c>
    </row>
    <row r="75" spans="1:5" s="246" customFormat="1" x14ac:dyDescent="0.35">
      <c r="A75" s="288">
        <v>72</v>
      </c>
      <c r="B75" s="245" t="s">
        <v>276</v>
      </c>
      <c r="C75" s="245">
        <v>54</v>
      </c>
      <c r="D75" s="245">
        <v>2013</v>
      </c>
      <c r="E75" s="289" t="s">
        <v>42</v>
      </c>
    </row>
    <row r="76" spans="1:5" s="246" customFormat="1" x14ac:dyDescent="0.35">
      <c r="A76" s="288">
        <v>73</v>
      </c>
      <c r="B76" s="245" t="s">
        <v>277</v>
      </c>
      <c r="C76" s="245">
        <v>34</v>
      </c>
      <c r="D76" s="245">
        <v>2020</v>
      </c>
      <c r="E76" s="289" t="s">
        <v>42</v>
      </c>
    </row>
    <row r="77" spans="1:5" x14ac:dyDescent="0.35">
      <c r="A77" s="292">
        <v>74</v>
      </c>
      <c r="B77" s="53" t="s">
        <v>43</v>
      </c>
      <c r="C77" s="257">
        <v>15</v>
      </c>
      <c r="D77" s="257" t="s">
        <v>44</v>
      </c>
      <c r="E77" s="293" t="s">
        <v>45</v>
      </c>
    </row>
    <row r="78" spans="1:5" x14ac:dyDescent="0.35">
      <c r="A78" s="292">
        <v>75</v>
      </c>
      <c r="B78" s="53" t="s">
        <v>46</v>
      </c>
      <c r="C78" s="257">
        <v>23</v>
      </c>
      <c r="D78" s="257">
        <v>2012</v>
      </c>
      <c r="E78" s="293" t="s">
        <v>45</v>
      </c>
    </row>
    <row r="79" spans="1:5" x14ac:dyDescent="0.35">
      <c r="A79" s="292">
        <v>76</v>
      </c>
      <c r="B79" s="53" t="s">
        <v>47</v>
      </c>
      <c r="C79" s="257">
        <v>85</v>
      </c>
      <c r="D79" s="257" t="s">
        <v>48</v>
      </c>
      <c r="E79" s="293" t="s">
        <v>45</v>
      </c>
    </row>
    <row r="80" spans="1:5" x14ac:dyDescent="0.35">
      <c r="A80" s="292">
        <v>77</v>
      </c>
      <c r="B80" s="53" t="s">
        <v>49</v>
      </c>
      <c r="C80" s="257">
        <v>10</v>
      </c>
      <c r="D80" s="257" t="s">
        <v>50</v>
      </c>
      <c r="E80" s="293" t="s">
        <v>45</v>
      </c>
    </row>
    <row r="81" spans="1:5" x14ac:dyDescent="0.35">
      <c r="A81" s="292">
        <v>78</v>
      </c>
      <c r="B81" s="53" t="s">
        <v>51</v>
      </c>
      <c r="C81" s="257">
        <v>7</v>
      </c>
      <c r="D81" s="257" t="s">
        <v>48</v>
      </c>
      <c r="E81" s="293" t="s">
        <v>45</v>
      </c>
    </row>
    <row r="82" spans="1:5" x14ac:dyDescent="0.35">
      <c r="A82" s="292">
        <v>79</v>
      </c>
      <c r="B82" s="53" t="s">
        <v>52</v>
      </c>
      <c r="C82" s="257">
        <v>6</v>
      </c>
      <c r="D82" s="257" t="s">
        <v>48</v>
      </c>
      <c r="E82" s="293" t="s">
        <v>45</v>
      </c>
    </row>
    <row r="83" spans="1:5" x14ac:dyDescent="0.35">
      <c r="A83" s="292">
        <v>80</v>
      </c>
      <c r="B83" s="53" t="s">
        <v>53</v>
      </c>
      <c r="C83" s="257">
        <v>20</v>
      </c>
      <c r="D83" s="257" t="s">
        <v>48</v>
      </c>
      <c r="E83" s="293" t="s">
        <v>45</v>
      </c>
    </row>
    <row r="84" spans="1:5" x14ac:dyDescent="0.35">
      <c r="A84" s="292">
        <v>81</v>
      </c>
      <c r="B84" s="53" t="s">
        <v>54</v>
      </c>
      <c r="C84" s="250">
        <v>15</v>
      </c>
      <c r="D84" s="257" t="s">
        <v>48</v>
      </c>
      <c r="E84" s="293" t="s">
        <v>45</v>
      </c>
    </row>
    <row r="85" spans="1:5" x14ac:dyDescent="0.35">
      <c r="A85" s="292">
        <v>82</v>
      </c>
      <c r="B85" s="53" t="s">
        <v>55</v>
      </c>
      <c r="C85" s="250">
        <v>31</v>
      </c>
      <c r="D85" s="257" t="s">
        <v>48</v>
      </c>
      <c r="E85" s="293" t="s">
        <v>45</v>
      </c>
    </row>
    <row r="86" spans="1:5" x14ac:dyDescent="0.35">
      <c r="A86" s="292">
        <v>83</v>
      </c>
      <c r="B86" s="53" t="s">
        <v>56</v>
      </c>
      <c r="C86" s="250">
        <v>34</v>
      </c>
      <c r="D86" s="257" t="s">
        <v>48</v>
      </c>
      <c r="E86" s="293" t="s">
        <v>45</v>
      </c>
    </row>
    <row r="87" spans="1:5" x14ac:dyDescent="0.35">
      <c r="A87" s="292">
        <v>84</v>
      </c>
      <c r="B87" s="53" t="s">
        <v>57</v>
      </c>
      <c r="C87" s="257">
        <v>13</v>
      </c>
      <c r="D87" s="294" t="s">
        <v>48</v>
      </c>
      <c r="E87" s="295" t="s">
        <v>45</v>
      </c>
    </row>
    <row r="88" spans="1:5" x14ac:dyDescent="0.35">
      <c r="A88" s="292">
        <v>85</v>
      </c>
      <c r="B88" s="53" t="s">
        <v>58</v>
      </c>
      <c r="C88" s="257">
        <v>25</v>
      </c>
      <c r="D88" s="294" t="s">
        <v>48</v>
      </c>
      <c r="E88" s="295" t="s">
        <v>45</v>
      </c>
    </row>
    <row r="89" spans="1:5" x14ac:dyDescent="0.35">
      <c r="A89" s="292">
        <v>86</v>
      </c>
      <c r="B89" s="52" t="s">
        <v>59</v>
      </c>
      <c r="C89" s="257">
        <v>94</v>
      </c>
      <c r="D89" s="250" t="s">
        <v>48</v>
      </c>
      <c r="E89" s="293" t="s">
        <v>45</v>
      </c>
    </row>
    <row r="90" spans="1:5" x14ac:dyDescent="0.35">
      <c r="A90" s="292">
        <v>87</v>
      </c>
      <c r="B90" s="53" t="s">
        <v>60</v>
      </c>
      <c r="C90" s="257">
        <v>83</v>
      </c>
      <c r="D90" s="257" t="s">
        <v>50</v>
      </c>
      <c r="E90" s="293" t="s">
        <v>45</v>
      </c>
    </row>
    <row r="91" spans="1:5" x14ac:dyDescent="0.35">
      <c r="A91" s="292">
        <v>88</v>
      </c>
      <c r="B91" s="53" t="s">
        <v>61</v>
      </c>
      <c r="C91" s="257">
        <v>7</v>
      </c>
      <c r="D91" s="257" t="s">
        <v>50</v>
      </c>
      <c r="E91" s="293" t="s">
        <v>45</v>
      </c>
    </row>
    <row r="92" spans="1:5" x14ac:dyDescent="0.35">
      <c r="A92" s="292">
        <v>89</v>
      </c>
      <c r="B92" s="53" t="s">
        <v>62</v>
      </c>
      <c r="C92" s="257">
        <v>12</v>
      </c>
      <c r="D92" s="257" t="s">
        <v>48</v>
      </c>
      <c r="E92" s="293" t="s">
        <v>45</v>
      </c>
    </row>
    <row r="93" spans="1:5" x14ac:dyDescent="0.35">
      <c r="A93" s="292">
        <v>90</v>
      </c>
      <c r="B93" s="53" t="s">
        <v>63</v>
      </c>
      <c r="C93" s="257">
        <v>5</v>
      </c>
      <c r="D93" s="257" t="s">
        <v>64</v>
      </c>
      <c r="E93" s="293" t="s">
        <v>45</v>
      </c>
    </row>
    <row r="94" spans="1:5" x14ac:dyDescent="0.35">
      <c r="A94" s="292">
        <v>91</v>
      </c>
      <c r="B94" s="53" t="s">
        <v>65</v>
      </c>
      <c r="C94" s="257">
        <v>8</v>
      </c>
      <c r="D94" s="257" t="s">
        <v>66</v>
      </c>
      <c r="E94" s="293" t="s">
        <v>45</v>
      </c>
    </row>
    <row r="95" spans="1:5" x14ac:dyDescent="0.35">
      <c r="A95" s="292">
        <v>92</v>
      </c>
      <c r="B95" s="53" t="s">
        <v>67</v>
      </c>
      <c r="C95" s="257">
        <v>61</v>
      </c>
      <c r="D95" s="257" t="s">
        <v>64</v>
      </c>
      <c r="E95" s="293" t="s">
        <v>45</v>
      </c>
    </row>
    <row r="96" spans="1:5" x14ac:dyDescent="0.35">
      <c r="A96" s="292">
        <v>93</v>
      </c>
      <c r="B96" s="53" t="s">
        <v>68</v>
      </c>
      <c r="C96" s="257">
        <v>66</v>
      </c>
      <c r="D96" s="257" t="s">
        <v>64</v>
      </c>
      <c r="E96" s="293" t="s">
        <v>45</v>
      </c>
    </row>
    <row r="97" spans="1:5" x14ac:dyDescent="0.35">
      <c r="A97" s="292">
        <v>94</v>
      </c>
      <c r="B97" s="53" t="s">
        <v>69</v>
      </c>
      <c r="C97" s="257">
        <v>29</v>
      </c>
      <c r="D97" s="257" t="s">
        <v>64</v>
      </c>
      <c r="E97" s="293" t="s">
        <v>45</v>
      </c>
    </row>
    <row r="98" spans="1:5" x14ac:dyDescent="0.35">
      <c r="A98" s="292">
        <v>95</v>
      </c>
      <c r="B98" s="53" t="s">
        <v>70</v>
      </c>
      <c r="C98" s="257">
        <v>53</v>
      </c>
      <c r="D98" s="257" t="s">
        <v>64</v>
      </c>
      <c r="E98" s="293" t="s">
        <v>45</v>
      </c>
    </row>
    <row r="99" spans="1:5" x14ac:dyDescent="0.35">
      <c r="A99" s="292">
        <v>96</v>
      </c>
      <c r="B99" s="53" t="s">
        <v>71</v>
      </c>
      <c r="C99" s="257">
        <v>31</v>
      </c>
      <c r="D99" s="257" t="s">
        <v>64</v>
      </c>
      <c r="E99" s="293" t="s">
        <v>45</v>
      </c>
    </row>
    <row r="100" spans="1:5" x14ac:dyDescent="0.35">
      <c r="A100" s="292">
        <v>97</v>
      </c>
      <c r="B100" s="53" t="s">
        <v>72</v>
      </c>
      <c r="C100" s="257">
        <v>130</v>
      </c>
      <c r="D100" s="257" t="s">
        <v>64</v>
      </c>
      <c r="E100" s="293" t="s">
        <v>45</v>
      </c>
    </row>
    <row r="101" spans="1:5" x14ac:dyDescent="0.35">
      <c r="A101" s="292">
        <v>98</v>
      </c>
      <c r="B101" s="53" t="s">
        <v>73</v>
      </c>
      <c r="C101" s="257">
        <v>29</v>
      </c>
      <c r="D101" s="257" t="s">
        <v>66</v>
      </c>
      <c r="E101" s="293" t="s">
        <v>45</v>
      </c>
    </row>
    <row r="102" spans="1:5" x14ac:dyDescent="0.35">
      <c r="A102" s="292">
        <v>99</v>
      </c>
      <c r="B102" s="53" t="s">
        <v>74</v>
      </c>
      <c r="C102" s="257">
        <v>49</v>
      </c>
      <c r="D102" s="257" t="s">
        <v>66</v>
      </c>
      <c r="E102" s="293" t="s">
        <v>45</v>
      </c>
    </row>
    <row r="103" spans="1:5" x14ac:dyDescent="0.35">
      <c r="A103" s="292">
        <v>100</v>
      </c>
      <c r="B103" s="53" t="s">
        <v>75</v>
      </c>
      <c r="C103" s="257">
        <v>12</v>
      </c>
      <c r="D103" s="257" t="s">
        <v>66</v>
      </c>
      <c r="E103" s="293" t="s">
        <v>45</v>
      </c>
    </row>
    <row r="104" spans="1:5" x14ac:dyDescent="0.35">
      <c r="A104" s="292">
        <v>101</v>
      </c>
      <c r="B104" s="53" t="s">
        <v>76</v>
      </c>
      <c r="C104" s="257">
        <v>30</v>
      </c>
      <c r="D104" s="257" t="s">
        <v>66</v>
      </c>
      <c r="E104" s="293" t="s">
        <v>45</v>
      </c>
    </row>
    <row r="105" spans="1:5" x14ac:dyDescent="0.35">
      <c r="A105" s="292">
        <v>102</v>
      </c>
      <c r="B105" s="53" t="s">
        <v>77</v>
      </c>
      <c r="C105" s="257">
        <v>52</v>
      </c>
      <c r="D105" s="257" t="s">
        <v>66</v>
      </c>
      <c r="E105" s="293" t="s">
        <v>45</v>
      </c>
    </row>
    <row r="106" spans="1:5" x14ac:dyDescent="0.35">
      <c r="A106" s="292">
        <v>103</v>
      </c>
      <c r="B106" s="53" t="s">
        <v>78</v>
      </c>
      <c r="C106" s="257">
        <v>48</v>
      </c>
      <c r="D106" s="257" t="s">
        <v>64</v>
      </c>
      <c r="E106" s="293" t="s">
        <v>45</v>
      </c>
    </row>
    <row r="107" spans="1:5" x14ac:dyDescent="0.35">
      <c r="A107" s="292">
        <v>104</v>
      </c>
      <c r="B107" s="53" t="s">
        <v>79</v>
      </c>
      <c r="C107" s="257">
        <v>43</v>
      </c>
      <c r="D107" s="257" t="s">
        <v>66</v>
      </c>
      <c r="E107" s="293" t="s">
        <v>45</v>
      </c>
    </row>
    <row r="108" spans="1:5" x14ac:dyDescent="0.35">
      <c r="A108" s="292">
        <v>105</v>
      </c>
      <c r="B108" s="53" t="s">
        <v>80</v>
      </c>
      <c r="C108" s="257">
        <v>11</v>
      </c>
      <c r="D108" s="257">
        <v>2003</v>
      </c>
      <c r="E108" s="293" t="s">
        <v>45</v>
      </c>
    </row>
    <row r="109" spans="1:5" x14ac:dyDescent="0.35">
      <c r="A109" s="292">
        <v>106</v>
      </c>
      <c r="B109" s="53" t="s">
        <v>81</v>
      </c>
      <c r="C109" s="257">
        <v>20</v>
      </c>
      <c r="D109" s="257">
        <v>2007</v>
      </c>
      <c r="E109" s="293" t="s">
        <v>45</v>
      </c>
    </row>
    <row r="110" spans="1:5" x14ac:dyDescent="0.35">
      <c r="A110" s="292">
        <v>107</v>
      </c>
      <c r="B110" s="53" t="s">
        <v>82</v>
      </c>
      <c r="C110" s="257">
        <v>20</v>
      </c>
      <c r="D110" s="257">
        <v>2006</v>
      </c>
      <c r="E110" s="293" t="s">
        <v>45</v>
      </c>
    </row>
    <row r="111" spans="1:5" x14ac:dyDescent="0.35">
      <c r="A111" s="292">
        <v>108</v>
      </c>
      <c r="B111" s="53" t="s">
        <v>83</v>
      </c>
      <c r="C111" s="257">
        <v>22</v>
      </c>
      <c r="D111" s="257" t="s">
        <v>48</v>
      </c>
      <c r="E111" s="293" t="s">
        <v>45</v>
      </c>
    </row>
    <row r="112" spans="1:5" x14ac:dyDescent="0.35">
      <c r="A112" s="292">
        <v>109</v>
      </c>
      <c r="B112" s="53" t="s">
        <v>84</v>
      </c>
      <c r="C112" s="257">
        <v>33</v>
      </c>
      <c r="D112" s="257" t="s">
        <v>48</v>
      </c>
      <c r="E112" s="293" t="s">
        <v>45</v>
      </c>
    </row>
    <row r="113" spans="1:5" x14ac:dyDescent="0.35">
      <c r="A113" s="292">
        <v>110</v>
      </c>
      <c r="B113" s="53" t="s">
        <v>85</v>
      </c>
      <c r="C113" s="257">
        <v>23</v>
      </c>
      <c r="D113" s="257" t="s">
        <v>48</v>
      </c>
      <c r="E113" s="293" t="s">
        <v>45</v>
      </c>
    </row>
    <row r="114" spans="1:5" x14ac:dyDescent="0.35">
      <c r="A114" s="292">
        <v>111</v>
      </c>
      <c r="B114" s="53" t="s">
        <v>86</v>
      </c>
      <c r="C114" s="257">
        <v>14</v>
      </c>
      <c r="D114" s="257" t="s">
        <v>48</v>
      </c>
      <c r="E114" s="293" t="s">
        <v>45</v>
      </c>
    </row>
    <row r="115" spans="1:5" x14ac:dyDescent="0.35">
      <c r="A115" s="292">
        <v>112</v>
      </c>
      <c r="B115" s="53" t="s">
        <v>87</v>
      </c>
      <c r="C115" s="257">
        <v>46</v>
      </c>
      <c r="D115" s="265" t="s">
        <v>48</v>
      </c>
      <c r="E115" s="293" t="s">
        <v>45</v>
      </c>
    </row>
    <row r="116" spans="1:5" x14ac:dyDescent="0.35">
      <c r="A116" s="292">
        <v>113</v>
      </c>
      <c r="B116" s="53" t="s">
        <v>88</v>
      </c>
      <c r="C116" s="257">
        <v>41</v>
      </c>
      <c r="D116" s="294">
        <v>2015</v>
      </c>
      <c r="E116" s="293" t="s">
        <v>45</v>
      </c>
    </row>
    <row r="117" spans="1:5" x14ac:dyDescent="0.35">
      <c r="A117" s="292">
        <v>114</v>
      </c>
      <c r="B117" s="53" t="s">
        <v>88</v>
      </c>
      <c r="C117" s="257">
        <v>46</v>
      </c>
      <c r="D117" s="265">
        <v>2016</v>
      </c>
      <c r="E117" s="293" t="s">
        <v>45</v>
      </c>
    </row>
    <row r="118" spans="1:5" x14ac:dyDescent="0.35">
      <c r="A118" s="292">
        <v>115</v>
      </c>
      <c r="B118" s="53" t="s">
        <v>88</v>
      </c>
      <c r="C118" s="257">
        <v>18</v>
      </c>
      <c r="D118" s="265">
        <v>2014</v>
      </c>
      <c r="E118" s="293" t="s">
        <v>45</v>
      </c>
    </row>
    <row r="119" spans="1:5" x14ac:dyDescent="0.35">
      <c r="A119" s="292">
        <v>116</v>
      </c>
      <c r="B119" s="53" t="s">
        <v>88</v>
      </c>
      <c r="C119" s="257">
        <v>100</v>
      </c>
      <c r="D119" s="265">
        <v>2007</v>
      </c>
      <c r="E119" s="293" t="s">
        <v>45</v>
      </c>
    </row>
    <row r="120" spans="1:5" x14ac:dyDescent="0.35">
      <c r="A120" s="292">
        <v>117</v>
      </c>
      <c r="B120" s="53" t="s">
        <v>89</v>
      </c>
      <c r="C120" s="257">
        <v>93</v>
      </c>
      <c r="D120" s="294" t="s">
        <v>48</v>
      </c>
      <c r="E120" s="293" t="s">
        <v>45</v>
      </c>
    </row>
    <row r="121" spans="1:5" x14ac:dyDescent="0.35">
      <c r="A121" s="292">
        <v>118</v>
      </c>
      <c r="B121" s="53" t="s">
        <v>90</v>
      </c>
      <c r="C121" s="257">
        <v>46</v>
      </c>
      <c r="D121" s="294" t="s">
        <v>91</v>
      </c>
      <c r="E121" s="293" t="s">
        <v>45</v>
      </c>
    </row>
    <row r="122" spans="1:5" x14ac:dyDescent="0.35">
      <c r="A122" s="292">
        <v>119</v>
      </c>
      <c r="B122" s="53" t="s">
        <v>92</v>
      </c>
      <c r="C122" s="257">
        <v>19</v>
      </c>
      <c r="D122" s="294">
        <v>2014</v>
      </c>
      <c r="E122" s="293" t="s">
        <v>45</v>
      </c>
    </row>
    <row r="123" spans="1:5" x14ac:dyDescent="0.35">
      <c r="A123" s="292">
        <v>120</v>
      </c>
      <c r="B123" s="53" t="s">
        <v>93</v>
      </c>
      <c r="C123" s="257">
        <v>36</v>
      </c>
      <c r="D123" s="294">
        <v>2015</v>
      </c>
      <c r="E123" s="293" t="s">
        <v>45</v>
      </c>
    </row>
    <row r="124" spans="1:5" x14ac:dyDescent="0.35">
      <c r="A124" s="292">
        <v>121</v>
      </c>
      <c r="B124" s="53" t="s">
        <v>94</v>
      </c>
      <c r="C124" s="257">
        <v>46</v>
      </c>
      <c r="D124" s="265">
        <v>2016</v>
      </c>
      <c r="E124" s="293" t="s">
        <v>45</v>
      </c>
    </row>
    <row r="125" spans="1:5" x14ac:dyDescent="0.35">
      <c r="A125" s="292">
        <v>122</v>
      </c>
      <c r="B125" s="53" t="s">
        <v>95</v>
      </c>
      <c r="C125" s="257">
        <v>27</v>
      </c>
      <c r="D125" s="265" t="s">
        <v>96</v>
      </c>
      <c r="E125" s="293" t="s">
        <v>45</v>
      </c>
    </row>
    <row r="126" spans="1:5" x14ac:dyDescent="0.35">
      <c r="A126" s="292">
        <v>123</v>
      </c>
      <c r="B126" s="53" t="s">
        <v>97</v>
      </c>
      <c r="C126" s="257">
        <v>35</v>
      </c>
      <c r="D126" s="257" t="s">
        <v>98</v>
      </c>
      <c r="E126" s="293" t="s">
        <v>45</v>
      </c>
    </row>
    <row r="127" spans="1:5" x14ac:dyDescent="0.35">
      <c r="A127" s="292">
        <v>124</v>
      </c>
      <c r="B127" s="53" t="s">
        <v>99</v>
      </c>
      <c r="C127" s="257">
        <v>14</v>
      </c>
      <c r="D127" s="257" t="s">
        <v>100</v>
      </c>
      <c r="E127" s="293" t="s">
        <v>45</v>
      </c>
    </row>
    <row r="128" spans="1:5" x14ac:dyDescent="0.35">
      <c r="A128" s="292">
        <v>125</v>
      </c>
      <c r="B128" s="53" t="s">
        <v>101</v>
      </c>
      <c r="C128" s="257">
        <v>23</v>
      </c>
      <c r="D128" s="257" t="s">
        <v>102</v>
      </c>
      <c r="E128" s="293" t="s">
        <v>45</v>
      </c>
    </row>
    <row r="129" spans="1:5" x14ac:dyDescent="0.35">
      <c r="A129" s="292">
        <v>126</v>
      </c>
      <c r="B129" s="53" t="s">
        <v>103</v>
      </c>
      <c r="C129" s="257">
        <v>16</v>
      </c>
      <c r="D129" s="257" t="s">
        <v>102</v>
      </c>
      <c r="E129" s="293" t="s">
        <v>45</v>
      </c>
    </row>
    <row r="130" spans="1:5" x14ac:dyDescent="0.35">
      <c r="A130" s="292">
        <v>127</v>
      </c>
      <c r="B130" s="53" t="s">
        <v>104</v>
      </c>
      <c r="C130" s="257">
        <v>102</v>
      </c>
      <c r="D130" s="257">
        <v>2012</v>
      </c>
      <c r="E130" s="293" t="s">
        <v>45</v>
      </c>
    </row>
    <row r="131" spans="1:5" x14ac:dyDescent="0.35">
      <c r="A131" s="292">
        <v>128</v>
      </c>
      <c r="B131" s="53" t="s">
        <v>105</v>
      </c>
      <c r="C131" s="257">
        <v>15</v>
      </c>
      <c r="D131" s="257" t="s">
        <v>48</v>
      </c>
      <c r="E131" s="293" t="s">
        <v>45</v>
      </c>
    </row>
    <row r="132" spans="1:5" x14ac:dyDescent="0.35">
      <c r="A132" s="292">
        <v>129</v>
      </c>
      <c r="B132" s="53" t="s">
        <v>106</v>
      </c>
      <c r="C132" s="257">
        <v>9</v>
      </c>
      <c r="D132" s="257" t="s">
        <v>48</v>
      </c>
      <c r="E132" s="293" t="s">
        <v>45</v>
      </c>
    </row>
    <row r="133" spans="1:5" x14ac:dyDescent="0.35">
      <c r="A133" s="292">
        <v>130</v>
      </c>
      <c r="B133" s="53" t="s">
        <v>107</v>
      </c>
      <c r="C133" s="257">
        <v>14</v>
      </c>
      <c r="D133" s="257" t="s">
        <v>48</v>
      </c>
      <c r="E133" s="293" t="s">
        <v>45</v>
      </c>
    </row>
    <row r="134" spans="1:5" x14ac:dyDescent="0.35">
      <c r="A134" s="292">
        <v>131</v>
      </c>
      <c r="B134" s="53" t="s">
        <v>108</v>
      </c>
      <c r="C134" s="257">
        <v>10</v>
      </c>
      <c r="D134" s="257" t="s">
        <v>48</v>
      </c>
      <c r="E134" s="293" t="s">
        <v>45</v>
      </c>
    </row>
    <row r="135" spans="1:5" x14ac:dyDescent="0.35">
      <c r="A135" s="292">
        <v>132</v>
      </c>
      <c r="B135" s="53" t="s">
        <v>109</v>
      </c>
      <c r="C135" s="257">
        <v>12</v>
      </c>
      <c r="D135" s="257" t="s">
        <v>48</v>
      </c>
      <c r="E135" s="293" t="s">
        <v>45</v>
      </c>
    </row>
    <row r="136" spans="1:5" x14ac:dyDescent="0.35">
      <c r="A136" s="292">
        <v>133</v>
      </c>
      <c r="B136" s="53" t="s">
        <v>110</v>
      </c>
      <c r="C136" s="257">
        <v>12</v>
      </c>
      <c r="D136" s="257" t="s">
        <v>48</v>
      </c>
      <c r="E136" s="293" t="s">
        <v>45</v>
      </c>
    </row>
    <row r="137" spans="1:5" x14ac:dyDescent="0.35">
      <c r="A137" s="292">
        <v>134</v>
      </c>
      <c r="B137" s="53" t="s">
        <v>111</v>
      </c>
      <c r="C137" s="257">
        <v>18</v>
      </c>
      <c r="D137" s="257" t="s">
        <v>48</v>
      </c>
      <c r="E137" s="293" t="s">
        <v>45</v>
      </c>
    </row>
    <row r="138" spans="1:5" x14ac:dyDescent="0.35">
      <c r="A138" s="292">
        <v>135</v>
      </c>
      <c r="B138" s="53" t="s">
        <v>112</v>
      </c>
      <c r="C138" s="257">
        <v>16</v>
      </c>
      <c r="D138" s="257" t="s">
        <v>48</v>
      </c>
      <c r="E138" s="293" t="s">
        <v>45</v>
      </c>
    </row>
    <row r="139" spans="1:5" x14ac:dyDescent="0.35">
      <c r="A139" s="292">
        <v>136</v>
      </c>
      <c r="B139" s="53" t="s">
        <v>113</v>
      </c>
      <c r="C139" s="257">
        <v>32</v>
      </c>
      <c r="D139" s="257" t="s">
        <v>114</v>
      </c>
      <c r="E139" s="293" t="s">
        <v>45</v>
      </c>
    </row>
    <row r="140" spans="1:5" x14ac:dyDescent="0.35">
      <c r="A140" s="292">
        <v>137</v>
      </c>
      <c r="B140" s="53" t="s">
        <v>115</v>
      </c>
      <c r="C140" s="257">
        <v>10</v>
      </c>
      <c r="D140" s="257">
        <v>2018</v>
      </c>
      <c r="E140" s="293" t="s">
        <v>45</v>
      </c>
    </row>
    <row r="141" spans="1:5" x14ac:dyDescent="0.35">
      <c r="A141" s="292">
        <v>138</v>
      </c>
      <c r="B141" s="53" t="s">
        <v>116</v>
      </c>
      <c r="C141" s="257">
        <v>75</v>
      </c>
      <c r="D141" s="257" t="s">
        <v>117</v>
      </c>
      <c r="E141" s="293" t="s">
        <v>45</v>
      </c>
    </row>
    <row r="142" spans="1:5" x14ac:dyDescent="0.35">
      <c r="A142" s="292">
        <v>139</v>
      </c>
      <c r="B142" s="53" t="s">
        <v>118</v>
      </c>
      <c r="C142" s="257">
        <v>32</v>
      </c>
      <c r="D142" s="257" t="s">
        <v>119</v>
      </c>
      <c r="E142" s="293" t="s">
        <v>45</v>
      </c>
    </row>
    <row r="143" spans="1:5" x14ac:dyDescent="0.35">
      <c r="A143" s="292">
        <v>140</v>
      </c>
      <c r="B143" s="53" t="s">
        <v>120</v>
      </c>
      <c r="C143" s="257">
        <v>34</v>
      </c>
      <c r="D143" s="257" t="s">
        <v>121</v>
      </c>
      <c r="E143" s="293" t="s">
        <v>45</v>
      </c>
    </row>
    <row r="144" spans="1:5" x14ac:dyDescent="0.35">
      <c r="A144" s="292">
        <v>141</v>
      </c>
      <c r="B144" s="256" t="s">
        <v>122</v>
      </c>
      <c r="C144" s="257">
        <v>22</v>
      </c>
      <c r="D144" s="257" t="s">
        <v>121</v>
      </c>
      <c r="E144" s="293" t="s">
        <v>45</v>
      </c>
    </row>
    <row r="145" spans="1:5" x14ac:dyDescent="0.35">
      <c r="A145" s="296">
        <v>142</v>
      </c>
      <c r="B145" s="258" t="s">
        <v>278</v>
      </c>
      <c r="C145" s="259" t="s">
        <v>279</v>
      </c>
      <c r="D145" s="259">
        <v>2012</v>
      </c>
      <c r="E145" s="297" t="s">
        <v>280</v>
      </c>
    </row>
    <row r="146" spans="1:5" x14ac:dyDescent="0.35">
      <c r="A146" s="296">
        <v>143</v>
      </c>
      <c r="B146" s="258" t="s">
        <v>281</v>
      </c>
      <c r="C146" s="259" t="s">
        <v>282</v>
      </c>
      <c r="D146" s="259">
        <v>2013</v>
      </c>
      <c r="E146" s="297" t="s">
        <v>280</v>
      </c>
    </row>
    <row r="147" spans="1:5" x14ac:dyDescent="0.35">
      <c r="A147" s="296">
        <v>144</v>
      </c>
      <c r="B147" s="258" t="s">
        <v>283</v>
      </c>
      <c r="C147" s="259" t="s">
        <v>284</v>
      </c>
      <c r="D147" s="259">
        <v>2013</v>
      </c>
      <c r="E147" s="297" t="s">
        <v>280</v>
      </c>
    </row>
    <row r="148" spans="1:5" x14ac:dyDescent="0.35">
      <c r="A148" s="296">
        <v>145</v>
      </c>
      <c r="B148" s="258" t="s">
        <v>285</v>
      </c>
      <c r="C148" s="259" t="s">
        <v>286</v>
      </c>
      <c r="D148" s="259">
        <v>2014</v>
      </c>
      <c r="E148" s="297" t="s">
        <v>280</v>
      </c>
    </row>
    <row r="149" spans="1:5" x14ac:dyDescent="0.35">
      <c r="A149" s="296">
        <v>146</v>
      </c>
      <c r="B149" s="258" t="s">
        <v>287</v>
      </c>
      <c r="C149" s="259" t="s">
        <v>288</v>
      </c>
      <c r="D149" s="259">
        <v>2018</v>
      </c>
      <c r="E149" s="297" t="s">
        <v>280</v>
      </c>
    </row>
    <row r="150" spans="1:5" x14ac:dyDescent="0.35">
      <c r="A150" s="296">
        <v>147</v>
      </c>
      <c r="B150" s="258" t="s">
        <v>289</v>
      </c>
      <c r="C150" s="259" t="s">
        <v>290</v>
      </c>
      <c r="D150" s="259">
        <v>2014</v>
      </c>
      <c r="E150" s="297" t="s">
        <v>280</v>
      </c>
    </row>
    <row r="151" spans="1:5" x14ac:dyDescent="0.35">
      <c r="A151" s="296">
        <v>148</v>
      </c>
      <c r="B151" s="258" t="s">
        <v>291</v>
      </c>
      <c r="C151" s="259" t="s">
        <v>292</v>
      </c>
      <c r="D151" s="259">
        <v>2012</v>
      </c>
      <c r="E151" s="297" t="s">
        <v>280</v>
      </c>
    </row>
    <row r="152" spans="1:5" x14ac:dyDescent="0.35">
      <c r="A152" s="296">
        <v>149</v>
      </c>
      <c r="B152" s="258" t="s">
        <v>293</v>
      </c>
      <c r="C152" s="259" t="s">
        <v>294</v>
      </c>
      <c r="D152" s="259">
        <v>2018</v>
      </c>
      <c r="E152" s="297" t="s">
        <v>280</v>
      </c>
    </row>
    <row r="153" spans="1:5" x14ac:dyDescent="0.35">
      <c r="A153" s="296">
        <v>150</v>
      </c>
      <c r="B153" s="258" t="s">
        <v>295</v>
      </c>
      <c r="C153" s="259" t="s">
        <v>296</v>
      </c>
      <c r="D153" s="259">
        <v>2020</v>
      </c>
      <c r="E153" s="297" t="s">
        <v>280</v>
      </c>
    </row>
    <row r="154" spans="1:5" x14ac:dyDescent="0.35">
      <c r="A154" s="296">
        <v>151</v>
      </c>
      <c r="B154" s="258" t="s">
        <v>297</v>
      </c>
      <c r="C154" s="259" t="s">
        <v>298</v>
      </c>
      <c r="D154" s="259">
        <v>2021</v>
      </c>
      <c r="E154" s="297" t="s">
        <v>280</v>
      </c>
    </row>
    <row r="155" spans="1:5" ht="15" thickBot="1" x14ac:dyDescent="0.4">
      <c r="A155" s="298">
        <v>152</v>
      </c>
      <c r="B155" s="299" t="s">
        <v>299</v>
      </c>
      <c r="C155" s="300" t="s">
        <v>300</v>
      </c>
      <c r="D155" s="300">
        <v>2021</v>
      </c>
      <c r="E155" s="301" t="s">
        <v>280</v>
      </c>
    </row>
    <row r="156" spans="1:5" x14ac:dyDescent="0.35">
      <c r="B156" s="255"/>
    </row>
    <row r="157" spans="1:5" x14ac:dyDescent="0.35">
      <c r="B157" s="376" t="s">
        <v>123</v>
      </c>
      <c r="C157" s="376"/>
      <c r="D157"/>
    </row>
  </sheetData>
  <mergeCells count="3">
    <mergeCell ref="A1:F1"/>
    <mergeCell ref="F6:G6"/>
    <mergeCell ref="B157:C15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A9ADB-FC76-4D7E-858B-607469053163}">
  <dimension ref="B1:M18"/>
  <sheetViews>
    <sheetView topLeftCell="A15" workbookViewId="0">
      <selection activeCell="D24" sqref="D24"/>
    </sheetView>
  </sheetViews>
  <sheetFormatPr defaultRowHeight="14.5" x14ac:dyDescent="0.35"/>
  <cols>
    <col min="2" max="2" width="27.90625" customWidth="1"/>
    <col min="3" max="3" width="11.90625" hidden="1" customWidth="1"/>
    <col min="4" max="4" width="12.7265625" customWidth="1"/>
    <col min="5" max="5" width="11.90625" customWidth="1"/>
    <col min="6" max="6" width="12.08984375" customWidth="1"/>
    <col min="7" max="7" width="12.1796875" customWidth="1"/>
    <col min="8" max="8" width="12.36328125" customWidth="1"/>
    <col min="9" max="9" width="10.7265625" customWidth="1"/>
  </cols>
  <sheetData>
    <row r="1" spans="2:13" ht="18.5" x14ac:dyDescent="0.35">
      <c r="B1" s="128" t="s">
        <v>302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2:13" ht="15.5" x14ac:dyDescent="0.35">
      <c r="C2" s="377"/>
      <c r="D2" s="377"/>
      <c r="E2" s="377"/>
      <c r="F2" s="377"/>
      <c r="G2" s="377"/>
      <c r="H2" s="377"/>
      <c r="I2" s="377"/>
      <c r="J2" s="377"/>
      <c r="K2" s="377"/>
      <c r="L2" s="7"/>
    </row>
    <row r="3" spans="2:13" ht="31" customHeight="1" x14ac:dyDescent="0.35">
      <c r="B3" s="140" t="s">
        <v>124</v>
      </c>
      <c r="C3" s="129">
        <v>2012</v>
      </c>
      <c r="D3" s="140">
        <v>2013</v>
      </c>
      <c r="E3" s="130">
        <v>2014</v>
      </c>
      <c r="F3" s="140">
        <v>2015</v>
      </c>
      <c r="G3" s="140">
        <v>2016</v>
      </c>
      <c r="H3" s="131">
        <v>2017</v>
      </c>
      <c r="I3" s="9"/>
      <c r="J3" s="9"/>
      <c r="K3" s="9"/>
      <c r="L3" s="9"/>
    </row>
    <row r="4" spans="2:13" ht="24" customHeight="1" x14ac:dyDescent="0.35">
      <c r="B4" s="146" t="s">
        <v>45</v>
      </c>
      <c r="C4" s="378"/>
      <c r="D4" s="379"/>
      <c r="E4" s="379"/>
      <c r="F4" s="379"/>
      <c r="G4" s="379"/>
      <c r="H4" s="380"/>
      <c r="I4" s="7"/>
      <c r="J4" s="7"/>
      <c r="K4" s="7"/>
      <c r="L4" s="7"/>
    </row>
    <row r="5" spans="2:13" ht="23.5" customHeight="1" x14ac:dyDescent="0.35">
      <c r="B5" s="147" t="s">
        <v>125</v>
      </c>
      <c r="C5" s="143">
        <v>0</v>
      </c>
      <c r="D5" s="144">
        <v>367</v>
      </c>
      <c r="E5" s="145">
        <v>70</v>
      </c>
      <c r="F5" s="144">
        <v>110</v>
      </c>
      <c r="G5" s="144">
        <v>214</v>
      </c>
      <c r="H5" s="135">
        <v>214</v>
      </c>
      <c r="I5" s="7"/>
      <c r="J5" s="7"/>
      <c r="K5" s="7"/>
      <c r="L5" s="7"/>
    </row>
    <row r="6" spans="2:13" ht="28.5" customHeight="1" x14ac:dyDescent="0.35">
      <c r="B6" s="147" t="s">
        <v>126</v>
      </c>
      <c r="C6" s="132">
        <v>0</v>
      </c>
      <c r="D6" s="141">
        <v>301</v>
      </c>
      <c r="E6" s="133">
        <v>110</v>
      </c>
      <c r="F6" s="141">
        <v>140</v>
      </c>
      <c r="G6" s="141">
        <v>272</v>
      </c>
      <c r="H6" s="134">
        <v>272</v>
      </c>
      <c r="I6" s="7"/>
      <c r="J6" s="7"/>
      <c r="K6" s="7"/>
      <c r="L6" s="7"/>
    </row>
    <row r="7" spans="2:13" ht="27.5" customHeight="1" x14ac:dyDescent="0.35">
      <c r="B7" s="148" t="s">
        <v>127</v>
      </c>
      <c r="C7" s="136">
        <v>0</v>
      </c>
      <c r="D7" s="142">
        <v>668</v>
      </c>
      <c r="E7" s="137">
        <v>180</v>
      </c>
      <c r="F7" s="142">
        <v>250</v>
      </c>
      <c r="G7" s="142">
        <v>486</v>
      </c>
      <c r="H7" s="139">
        <v>486</v>
      </c>
      <c r="I7" s="7"/>
      <c r="J7" s="7"/>
      <c r="K7" s="7"/>
      <c r="L7" s="7"/>
    </row>
    <row r="8" spans="2:13" ht="23.5" customHeight="1" x14ac:dyDescent="0.35">
      <c r="B8" s="146" t="s">
        <v>128</v>
      </c>
      <c r="C8" s="378"/>
      <c r="D8" s="379"/>
      <c r="E8" s="379"/>
      <c r="F8" s="379"/>
      <c r="G8" s="379"/>
      <c r="H8" s="380"/>
      <c r="I8" s="7"/>
      <c r="J8" s="7"/>
      <c r="K8" s="7"/>
      <c r="L8" s="7"/>
    </row>
    <row r="9" spans="2:13" ht="28.5" customHeight="1" x14ac:dyDescent="0.35">
      <c r="B9" s="147" t="s">
        <v>125</v>
      </c>
      <c r="C9" s="143">
        <v>100</v>
      </c>
      <c r="D9" s="144">
        <v>287</v>
      </c>
      <c r="E9" s="145">
        <v>302</v>
      </c>
      <c r="F9" s="144">
        <f>22+24+20+3+10+21</f>
        <v>100</v>
      </c>
      <c r="G9" s="144" t="s">
        <v>20</v>
      </c>
      <c r="H9" s="267" t="s">
        <v>20</v>
      </c>
      <c r="I9" s="7"/>
      <c r="J9" s="7"/>
      <c r="K9" s="7"/>
      <c r="L9" s="7"/>
    </row>
    <row r="10" spans="2:13" ht="28.5" customHeight="1" x14ac:dyDescent="0.35">
      <c r="B10" s="147" t="s">
        <v>126</v>
      </c>
      <c r="C10" s="132">
        <v>0</v>
      </c>
      <c r="D10" s="141">
        <v>43</v>
      </c>
      <c r="E10" s="133">
        <v>42</v>
      </c>
      <c r="F10" s="141">
        <f>4+5</f>
        <v>9</v>
      </c>
      <c r="G10" s="141" t="s">
        <v>20</v>
      </c>
      <c r="H10" s="268" t="s">
        <v>20</v>
      </c>
      <c r="I10" s="7"/>
      <c r="J10" s="7"/>
      <c r="K10" s="7"/>
      <c r="L10" s="7"/>
    </row>
    <row r="11" spans="2:13" ht="28" customHeight="1" x14ac:dyDescent="0.35">
      <c r="B11" s="148" t="s">
        <v>127</v>
      </c>
      <c r="C11" s="136"/>
      <c r="D11" s="142">
        <v>330</v>
      </c>
      <c r="E11" s="137">
        <f>SUM(E9:E10)</f>
        <v>344</v>
      </c>
      <c r="F11" s="142">
        <f>SUM(F9:F10)</f>
        <v>109</v>
      </c>
      <c r="G11" s="142" t="s">
        <v>20</v>
      </c>
      <c r="H11" s="269" t="s">
        <v>20</v>
      </c>
      <c r="I11" s="7"/>
      <c r="J11" s="7"/>
      <c r="K11" s="7"/>
      <c r="L11" s="7"/>
    </row>
    <row r="12" spans="2:13" ht="25" customHeight="1" x14ac:dyDescent="0.35">
      <c r="B12" s="146" t="s">
        <v>129</v>
      </c>
      <c r="C12" s="378"/>
      <c r="D12" s="379"/>
      <c r="E12" s="379"/>
      <c r="F12" s="379"/>
      <c r="G12" s="379"/>
      <c r="H12" s="380"/>
      <c r="I12" s="7"/>
      <c r="J12" s="7"/>
      <c r="K12" s="7"/>
      <c r="L12" s="7"/>
    </row>
    <row r="13" spans="2:13" ht="26" customHeight="1" x14ac:dyDescent="0.35">
      <c r="B13" s="147" t="s">
        <v>125</v>
      </c>
      <c r="C13" s="143">
        <v>53</v>
      </c>
      <c r="D13" s="144">
        <v>348</v>
      </c>
      <c r="E13" s="145">
        <v>160</v>
      </c>
      <c r="F13" s="144">
        <v>157</v>
      </c>
      <c r="G13" s="144">
        <v>519</v>
      </c>
      <c r="H13" s="135">
        <v>552</v>
      </c>
      <c r="I13" s="7"/>
      <c r="J13" s="7"/>
      <c r="K13" s="7"/>
      <c r="L13" s="7"/>
    </row>
    <row r="14" spans="2:13" ht="25.5" customHeight="1" x14ac:dyDescent="0.35">
      <c r="B14" s="147" t="s">
        <v>126</v>
      </c>
      <c r="C14" s="132">
        <v>47</v>
      </c>
      <c r="D14" s="141">
        <v>316</v>
      </c>
      <c r="E14" s="133">
        <v>149</v>
      </c>
      <c r="F14" s="141">
        <v>105</v>
      </c>
      <c r="G14" s="141">
        <v>252</v>
      </c>
      <c r="H14" s="134">
        <v>281</v>
      </c>
      <c r="I14" s="7"/>
      <c r="J14" s="7"/>
      <c r="K14" s="7"/>
      <c r="L14" s="7"/>
    </row>
    <row r="15" spans="2:13" ht="29" customHeight="1" x14ac:dyDescent="0.35">
      <c r="B15" s="148" t="s">
        <v>127</v>
      </c>
      <c r="C15" s="136">
        <v>100</v>
      </c>
      <c r="D15" s="142">
        <v>664</v>
      </c>
      <c r="E15" s="137">
        <f>SUM(E13:E14)</f>
        <v>309</v>
      </c>
      <c r="F15" s="142">
        <f>SUM(F13:F14)</f>
        <v>262</v>
      </c>
      <c r="G15" s="142">
        <v>771</v>
      </c>
      <c r="H15" s="138">
        <v>833</v>
      </c>
      <c r="I15" s="7"/>
      <c r="J15" s="7"/>
      <c r="K15" s="7"/>
      <c r="L15" s="7"/>
    </row>
    <row r="16" spans="2:13" ht="15.5" x14ac:dyDescent="0.35">
      <c r="B16" s="40"/>
      <c r="C16" s="8"/>
      <c r="D16" s="8"/>
      <c r="E16" s="8"/>
      <c r="F16" s="8"/>
      <c r="G16" s="8"/>
      <c r="H16" s="7"/>
      <c r="I16" s="7"/>
      <c r="J16" s="7"/>
      <c r="K16" s="7"/>
      <c r="L16" s="7"/>
    </row>
    <row r="17" spans="2:12" ht="15.5" x14ac:dyDescent="0.35">
      <c r="B17" s="40" t="s">
        <v>310</v>
      </c>
      <c r="C17" s="8"/>
      <c r="D17" s="8"/>
      <c r="E17" s="8"/>
      <c r="F17" s="8"/>
      <c r="G17" s="8"/>
      <c r="H17" s="7"/>
      <c r="I17" s="7"/>
      <c r="J17" s="7"/>
      <c r="K17" s="7"/>
      <c r="L17" s="7"/>
    </row>
    <row r="18" spans="2:12" ht="26.5" customHeight="1" x14ac:dyDescent="0.35">
      <c r="B18" s="307" t="s">
        <v>130</v>
      </c>
      <c r="C18" s="307"/>
      <c r="D18" s="307"/>
      <c r="E18" s="307"/>
      <c r="F18" s="307"/>
      <c r="G18" s="6"/>
      <c r="H18" s="7"/>
      <c r="I18" s="7"/>
      <c r="J18" s="7"/>
      <c r="K18" s="7"/>
      <c r="L18" s="7"/>
    </row>
  </sheetData>
  <mergeCells count="4">
    <mergeCell ref="C2:K2"/>
    <mergeCell ref="C8:H8"/>
    <mergeCell ref="C12:H12"/>
    <mergeCell ref="C4:H4"/>
  </mergeCells>
  <pageMargins left="0.7" right="0.7" top="0.75" bottom="0.75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E73AE-F6FA-4419-8EAA-B5FB558352CD}">
  <dimension ref="B1:N17"/>
  <sheetViews>
    <sheetView tabSelected="1" workbookViewId="0">
      <selection activeCell="I7" sqref="I7"/>
    </sheetView>
  </sheetViews>
  <sheetFormatPr defaultRowHeight="14.5" x14ac:dyDescent="0.35"/>
  <cols>
    <col min="2" max="2" width="23.08984375" customWidth="1"/>
    <col min="3" max="3" width="12.453125" hidden="1" customWidth="1"/>
    <col min="4" max="4" width="12.7265625" customWidth="1"/>
    <col min="5" max="5" width="12.453125" customWidth="1"/>
    <col min="6" max="6" width="12.6328125" customWidth="1"/>
    <col min="7" max="7" width="12.81640625" customWidth="1"/>
  </cols>
  <sheetData>
    <row r="1" spans="2:14" ht="21" x14ac:dyDescent="0.35">
      <c r="B1" s="127" t="s">
        <v>303</v>
      </c>
      <c r="C1" s="127"/>
      <c r="D1" s="127"/>
      <c r="E1" s="127"/>
      <c r="F1" s="127"/>
      <c r="G1" s="127"/>
      <c r="H1" s="127"/>
      <c r="I1" s="127"/>
      <c r="J1" s="127"/>
      <c r="K1" s="127"/>
      <c r="L1" s="10"/>
      <c r="M1" s="10"/>
      <c r="N1" s="10"/>
    </row>
    <row r="2" spans="2:14" ht="16" thickBot="1" x14ac:dyDescent="0.4">
      <c r="C2" s="382" t="s">
        <v>308</v>
      </c>
      <c r="D2" s="382"/>
      <c r="E2" s="382"/>
      <c r="F2" s="382"/>
      <c r="G2" s="382"/>
      <c r="H2" s="382"/>
      <c r="I2" s="10"/>
      <c r="J2" s="10"/>
      <c r="K2" s="10"/>
      <c r="L2" s="10"/>
      <c r="M2" s="10"/>
      <c r="N2" s="10"/>
    </row>
    <row r="3" spans="2:14" ht="32.5" customHeight="1" thickBot="1" x14ac:dyDescent="0.4">
      <c r="B3" s="149" t="s">
        <v>131</v>
      </c>
      <c r="C3" s="150">
        <v>2017</v>
      </c>
      <c r="D3" s="151">
        <v>2018</v>
      </c>
      <c r="E3" s="150">
        <v>2019</v>
      </c>
      <c r="F3" s="150">
        <v>2020</v>
      </c>
      <c r="G3" s="152">
        <v>2021</v>
      </c>
      <c r="H3" s="234">
        <v>2022</v>
      </c>
      <c r="I3" s="50"/>
      <c r="K3" s="10"/>
      <c r="L3" s="10"/>
      <c r="M3" s="10"/>
      <c r="N3" s="10"/>
    </row>
    <row r="4" spans="2:14" ht="29.5" customHeight="1" thickBot="1" x14ac:dyDescent="0.5">
      <c r="B4" s="153" t="s">
        <v>132</v>
      </c>
      <c r="C4" s="154">
        <v>8934</v>
      </c>
      <c r="D4" s="155">
        <v>8251</v>
      </c>
      <c r="E4" s="156">
        <v>7797</v>
      </c>
      <c r="F4" s="156">
        <v>7576</v>
      </c>
      <c r="G4" s="157">
        <v>7434</v>
      </c>
      <c r="H4" s="270">
        <v>6799</v>
      </c>
      <c r="I4" s="51"/>
      <c r="K4" s="10"/>
      <c r="L4" s="10"/>
      <c r="M4" s="10"/>
      <c r="N4" s="10"/>
    </row>
    <row r="5" spans="2:14" ht="29" customHeight="1" thickBot="1" x14ac:dyDescent="0.5">
      <c r="B5" s="153" t="s">
        <v>133</v>
      </c>
      <c r="C5" s="154">
        <v>0</v>
      </c>
      <c r="D5" s="154">
        <v>0</v>
      </c>
      <c r="E5" s="158">
        <v>0</v>
      </c>
      <c r="F5" s="158">
        <v>0</v>
      </c>
      <c r="G5" s="159">
        <v>0</v>
      </c>
      <c r="H5" s="270">
        <v>0</v>
      </c>
      <c r="I5" s="51"/>
      <c r="K5" s="10"/>
      <c r="L5" s="10"/>
      <c r="M5" s="10"/>
      <c r="N5" s="10"/>
    </row>
    <row r="6" spans="2:14" ht="30.5" customHeight="1" thickBot="1" x14ac:dyDescent="0.5">
      <c r="B6" s="153" t="s">
        <v>192</v>
      </c>
      <c r="C6" s="154">
        <v>3</v>
      </c>
      <c r="D6" s="154"/>
      <c r="E6" s="158"/>
      <c r="F6" s="158">
        <v>1</v>
      </c>
      <c r="G6" s="157">
        <v>1</v>
      </c>
      <c r="H6" s="271">
        <v>1</v>
      </c>
      <c r="I6" s="51"/>
      <c r="K6" s="10"/>
      <c r="L6" s="10"/>
      <c r="M6" s="10"/>
      <c r="N6" s="10"/>
    </row>
    <row r="7" spans="2:14" ht="30.5" customHeight="1" thickBot="1" x14ac:dyDescent="0.5">
      <c r="B7" s="160" t="s">
        <v>134</v>
      </c>
      <c r="C7" s="161">
        <v>0</v>
      </c>
      <c r="D7" s="161">
        <v>0</v>
      </c>
      <c r="E7" s="162">
        <v>0</v>
      </c>
      <c r="F7" s="162">
        <v>0</v>
      </c>
      <c r="G7" s="163">
        <v>0</v>
      </c>
      <c r="H7" s="270">
        <v>0</v>
      </c>
      <c r="I7" s="51"/>
      <c r="K7" s="10"/>
      <c r="L7" s="10"/>
      <c r="M7" s="10"/>
      <c r="N7" s="10"/>
    </row>
    <row r="8" spans="2:14" ht="30.5" customHeight="1" thickBot="1" x14ac:dyDescent="0.5">
      <c r="B8" s="153" t="s">
        <v>135</v>
      </c>
      <c r="C8" s="154">
        <v>0</v>
      </c>
      <c r="D8" s="154">
        <v>0</v>
      </c>
      <c r="E8" s="158">
        <v>0</v>
      </c>
      <c r="F8" s="158">
        <v>0</v>
      </c>
      <c r="G8" s="159">
        <v>0</v>
      </c>
      <c r="H8" s="272">
        <v>0</v>
      </c>
      <c r="I8" s="51"/>
      <c r="K8" s="10"/>
      <c r="L8" s="10"/>
      <c r="M8" s="10"/>
      <c r="N8" s="10"/>
    </row>
    <row r="9" spans="2:14" ht="30.5" customHeight="1" thickBot="1" x14ac:dyDescent="0.5">
      <c r="B9" s="153" t="s">
        <v>136</v>
      </c>
      <c r="C9" s="154">
        <v>321</v>
      </c>
      <c r="D9" s="156">
        <v>253</v>
      </c>
      <c r="E9" s="156">
        <v>159</v>
      </c>
      <c r="F9" s="156">
        <v>137</v>
      </c>
      <c r="G9" s="157">
        <v>72</v>
      </c>
      <c r="H9" s="272">
        <v>74</v>
      </c>
      <c r="I9" s="51"/>
      <c r="K9" s="10"/>
      <c r="L9" s="10"/>
      <c r="M9" s="10"/>
      <c r="N9" s="10"/>
    </row>
    <row r="10" spans="2:14" ht="29" customHeight="1" thickBot="1" x14ac:dyDescent="0.5">
      <c r="B10" s="153" t="s">
        <v>137</v>
      </c>
      <c r="C10" s="154">
        <v>523</v>
      </c>
      <c r="D10" s="164">
        <v>445</v>
      </c>
      <c r="E10" s="164">
        <v>311</v>
      </c>
      <c r="F10" s="158">
        <v>283</v>
      </c>
      <c r="G10" s="159">
        <v>127</v>
      </c>
      <c r="H10" s="270">
        <v>118</v>
      </c>
      <c r="I10" s="51"/>
      <c r="K10" s="10"/>
      <c r="L10" s="10"/>
      <c r="M10" s="10"/>
      <c r="N10" s="10"/>
    </row>
    <row r="11" spans="2:14" ht="29" customHeight="1" thickBot="1" x14ac:dyDescent="0.5">
      <c r="B11" s="153" t="s">
        <v>138</v>
      </c>
      <c r="C11" s="154">
        <v>23718</v>
      </c>
      <c r="D11" s="156">
        <v>21864</v>
      </c>
      <c r="E11" s="156">
        <v>26492</v>
      </c>
      <c r="F11" s="156">
        <v>25592</v>
      </c>
      <c r="G11" s="159">
        <v>32713</v>
      </c>
      <c r="H11" s="272">
        <v>19658</v>
      </c>
      <c r="I11" s="51"/>
      <c r="K11" s="10"/>
      <c r="L11" s="10"/>
      <c r="M11" s="10"/>
      <c r="N11" s="10"/>
    </row>
    <row r="12" spans="2:14" ht="27" customHeight="1" thickBot="1" x14ac:dyDescent="0.5">
      <c r="B12" s="153" t="s">
        <v>139</v>
      </c>
      <c r="C12" s="154">
        <v>0</v>
      </c>
      <c r="D12" s="154">
        <v>0</v>
      </c>
      <c r="E12" s="158">
        <v>0</v>
      </c>
      <c r="F12" s="158">
        <v>0</v>
      </c>
      <c r="G12" s="159">
        <v>0</v>
      </c>
      <c r="H12" s="272">
        <v>0</v>
      </c>
      <c r="I12" s="51"/>
      <c r="K12" s="10"/>
      <c r="L12" s="10"/>
      <c r="M12" s="10"/>
      <c r="N12" s="10"/>
    </row>
    <row r="13" spans="2:14" ht="27" customHeight="1" thickBot="1" x14ac:dyDescent="0.5">
      <c r="B13" s="153" t="s">
        <v>140</v>
      </c>
      <c r="C13" s="154">
        <v>34</v>
      </c>
      <c r="D13" s="156">
        <v>32</v>
      </c>
      <c r="E13" s="156">
        <v>38</v>
      </c>
      <c r="F13" s="156">
        <v>11</v>
      </c>
      <c r="G13" s="159">
        <v>33</v>
      </c>
      <c r="H13" s="272">
        <v>38</v>
      </c>
      <c r="I13" s="51"/>
      <c r="K13" s="10"/>
      <c r="L13" s="10"/>
      <c r="M13" s="10"/>
      <c r="N13" s="10"/>
    </row>
    <row r="14" spans="2:14" ht="28" customHeight="1" thickBot="1" x14ac:dyDescent="0.5">
      <c r="B14" s="153" t="s">
        <v>141</v>
      </c>
      <c r="C14" s="154">
        <v>1657</v>
      </c>
      <c r="D14" s="156">
        <v>1567</v>
      </c>
      <c r="E14" s="156">
        <v>1421</v>
      </c>
      <c r="F14" s="156">
        <v>1520</v>
      </c>
      <c r="G14" s="159">
        <v>1724</v>
      </c>
      <c r="H14" s="272">
        <v>0</v>
      </c>
      <c r="I14" s="51"/>
      <c r="K14" s="10"/>
      <c r="L14" s="10"/>
      <c r="M14" s="10"/>
      <c r="N14" s="10"/>
    </row>
    <row r="15" spans="2:14" ht="29.5" customHeight="1" thickBot="1" x14ac:dyDescent="0.5">
      <c r="B15" s="160" t="s">
        <v>142</v>
      </c>
      <c r="C15" s="165">
        <v>778</v>
      </c>
      <c r="D15" s="166">
        <v>748</v>
      </c>
      <c r="E15" s="166">
        <v>639</v>
      </c>
      <c r="F15" s="166">
        <v>797</v>
      </c>
      <c r="G15" s="163">
        <v>931</v>
      </c>
      <c r="H15" s="272">
        <v>0</v>
      </c>
      <c r="I15" s="51"/>
      <c r="K15" s="10"/>
      <c r="L15" s="10"/>
      <c r="M15" s="10"/>
      <c r="N15" s="10"/>
    </row>
    <row r="16" spans="2:14" ht="15.5" x14ac:dyDescent="0.35">
      <c r="H16" s="11"/>
      <c r="I16" s="10"/>
      <c r="J16" s="10"/>
      <c r="K16" s="10"/>
      <c r="L16" s="10"/>
      <c r="M16" s="10"/>
      <c r="N16" s="10"/>
    </row>
    <row r="17" spans="2:6" ht="18.5" x14ac:dyDescent="0.35">
      <c r="B17" s="381" t="s">
        <v>193</v>
      </c>
      <c r="C17" s="381"/>
      <c r="D17" s="381"/>
      <c r="E17" s="381"/>
      <c r="F17" s="381"/>
    </row>
  </sheetData>
  <mergeCells count="2">
    <mergeCell ref="B17:F17"/>
    <mergeCell ref="C2:H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FBB20-D0A7-4366-B3D7-D3B358C9A4CA}">
  <dimension ref="B1:M18"/>
  <sheetViews>
    <sheetView workbookViewId="0">
      <selection activeCell="B18" sqref="B18"/>
    </sheetView>
  </sheetViews>
  <sheetFormatPr defaultRowHeight="18.5" x14ac:dyDescent="0.45"/>
  <cols>
    <col min="2" max="2" width="32.36328125" customWidth="1"/>
    <col min="3" max="3" width="12.7265625" hidden="1" customWidth="1"/>
    <col min="4" max="6" width="12.6328125" bestFit="1" customWidth="1"/>
    <col min="7" max="7" width="11.1796875" bestFit="1" customWidth="1"/>
    <col min="8" max="8" width="14.453125" style="253" bestFit="1" customWidth="1"/>
    <col min="9" max="9" width="9.36328125" bestFit="1" customWidth="1"/>
  </cols>
  <sheetData>
    <row r="1" spans="2:13" ht="21" x14ac:dyDescent="0.35">
      <c r="B1" s="383" t="s">
        <v>305</v>
      </c>
      <c r="C1" s="383"/>
      <c r="D1" s="383"/>
      <c r="E1" s="383"/>
      <c r="F1" s="383"/>
      <c r="G1" s="383"/>
      <c r="H1" s="252"/>
      <c r="I1" s="12"/>
      <c r="J1" s="12"/>
      <c r="K1" s="12"/>
      <c r="L1" s="12"/>
      <c r="M1" s="12"/>
    </row>
    <row r="2" spans="2:13" ht="19" thickBot="1" x14ac:dyDescent="0.4">
      <c r="B2" s="167"/>
      <c r="C2" s="167"/>
      <c r="D2" s="167"/>
      <c r="E2" s="167"/>
      <c r="F2" s="167"/>
      <c r="G2" s="167"/>
      <c r="H2" s="252"/>
      <c r="I2" s="12"/>
      <c r="J2" s="12"/>
      <c r="K2" s="12"/>
      <c r="L2" s="12"/>
      <c r="M2" s="12"/>
    </row>
    <row r="3" spans="2:13" ht="32" customHeight="1" thickBot="1" x14ac:dyDescent="0.4">
      <c r="B3" s="150" t="s">
        <v>143</v>
      </c>
      <c r="C3" s="150">
        <v>2017</v>
      </c>
      <c r="D3" s="179">
        <v>2018</v>
      </c>
      <c r="E3" s="151">
        <v>2019</v>
      </c>
      <c r="F3" s="151">
        <v>2020</v>
      </c>
      <c r="G3" s="180">
        <v>2021</v>
      </c>
      <c r="H3" s="254">
        <v>2022</v>
      </c>
      <c r="J3" s="13"/>
      <c r="K3" s="13"/>
      <c r="L3" s="13"/>
      <c r="M3" s="13"/>
    </row>
    <row r="4" spans="2:13" ht="27" customHeight="1" thickBot="1" x14ac:dyDescent="0.4">
      <c r="B4" s="172" t="s">
        <v>183</v>
      </c>
      <c r="C4" s="173">
        <v>1725777</v>
      </c>
      <c r="D4" s="173">
        <v>1832800</v>
      </c>
      <c r="E4" s="173">
        <v>1896265</v>
      </c>
      <c r="F4" s="173">
        <v>1974569</v>
      </c>
      <c r="G4" s="174">
        <f>1596.43*1000</f>
        <v>1596430</v>
      </c>
      <c r="H4" s="260">
        <v>1623550</v>
      </c>
      <c r="J4" s="12"/>
      <c r="K4" s="12"/>
      <c r="L4" s="12"/>
      <c r="M4" s="12"/>
    </row>
    <row r="5" spans="2:13" ht="25" customHeight="1" thickBot="1" x14ac:dyDescent="0.4">
      <c r="B5" s="172" t="s">
        <v>181</v>
      </c>
      <c r="C5" s="173">
        <v>79339</v>
      </c>
      <c r="D5" s="173">
        <v>78167</v>
      </c>
      <c r="E5" s="173">
        <v>78712</v>
      </c>
      <c r="F5" s="173">
        <v>67426</v>
      </c>
      <c r="G5" s="174">
        <f>81.48*1000</f>
        <v>81480</v>
      </c>
      <c r="H5" s="261">
        <v>62870</v>
      </c>
      <c r="J5" s="12"/>
      <c r="K5" s="12"/>
      <c r="L5" s="12"/>
      <c r="M5" s="12"/>
    </row>
    <row r="6" spans="2:13" ht="27" customHeight="1" thickBot="1" x14ac:dyDescent="0.4">
      <c r="B6" s="172" t="s">
        <v>182</v>
      </c>
      <c r="C6" s="173">
        <v>142611</v>
      </c>
      <c r="D6" s="173">
        <v>139510</v>
      </c>
      <c r="E6" s="173">
        <v>141353</v>
      </c>
      <c r="F6" s="173">
        <v>113457</v>
      </c>
      <c r="G6" s="174">
        <f>121.9*1000</f>
        <v>121900</v>
      </c>
      <c r="H6" s="260">
        <v>104860</v>
      </c>
      <c r="J6" s="12"/>
      <c r="K6" s="12"/>
      <c r="L6" s="12"/>
      <c r="M6" s="12"/>
    </row>
    <row r="7" spans="2:13" ht="26.5" customHeight="1" thickBot="1" x14ac:dyDescent="0.4">
      <c r="B7" s="172" t="s">
        <v>144</v>
      </c>
      <c r="C7" s="175">
        <v>0</v>
      </c>
      <c r="D7" s="175">
        <v>0</v>
      </c>
      <c r="E7" s="176">
        <v>0</v>
      </c>
      <c r="F7" s="176">
        <v>0</v>
      </c>
      <c r="G7" s="177">
        <v>0</v>
      </c>
      <c r="H7" s="169">
        <v>0</v>
      </c>
      <c r="J7" s="12"/>
      <c r="K7" s="12"/>
      <c r="L7" s="12"/>
      <c r="M7" s="12"/>
    </row>
    <row r="8" spans="2:13" ht="27.5" customHeight="1" thickBot="1" x14ac:dyDescent="0.4">
      <c r="B8" s="172" t="s">
        <v>184</v>
      </c>
      <c r="C8" s="173">
        <v>3271318</v>
      </c>
      <c r="D8" s="173">
        <v>3364143</v>
      </c>
      <c r="E8" s="173">
        <v>3570934</v>
      </c>
      <c r="F8" s="173">
        <v>3022506</v>
      </c>
      <c r="G8" s="174">
        <v>4402300</v>
      </c>
      <c r="H8" s="262">
        <v>4425602</v>
      </c>
      <c r="J8" s="12"/>
      <c r="K8" s="12"/>
      <c r="L8" s="12"/>
      <c r="M8" s="12"/>
    </row>
    <row r="9" spans="2:13" ht="25.5" customHeight="1" thickBot="1" x14ac:dyDescent="0.4">
      <c r="B9" s="172" t="s">
        <v>185</v>
      </c>
      <c r="C9" s="173">
        <v>1697</v>
      </c>
      <c r="D9" s="173">
        <v>1818</v>
      </c>
      <c r="E9" s="173">
        <v>1875</v>
      </c>
      <c r="F9" s="173">
        <v>1420</v>
      </c>
      <c r="G9" s="174">
        <f>0.2*1000</f>
        <v>200</v>
      </c>
      <c r="H9" s="169">
        <v>0</v>
      </c>
      <c r="J9" s="12"/>
      <c r="K9" s="12"/>
      <c r="L9" s="12"/>
      <c r="M9" s="12"/>
    </row>
    <row r="10" spans="2:13" ht="25.5" customHeight="1" thickBot="1" x14ac:dyDescent="0.4">
      <c r="B10" s="178" t="s">
        <v>186</v>
      </c>
      <c r="C10" s="168">
        <v>7200</v>
      </c>
      <c r="D10" s="168">
        <v>10150</v>
      </c>
      <c r="E10" s="168">
        <v>10750</v>
      </c>
      <c r="F10" s="168">
        <v>27958</v>
      </c>
      <c r="G10" s="170">
        <f>30.2*1000</f>
        <v>30200</v>
      </c>
      <c r="H10" s="260">
        <v>31850</v>
      </c>
      <c r="J10" s="12"/>
      <c r="K10" s="12"/>
      <c r="L10" s="12"/>
      <c r="M10" s="12"/>
    </row>
    <row r="11" spans="2:13" ht="25.5" customHeight="1" thickBot="1" x14ac:dyDescent="0.4">
      <c r="B11" s="178" t="s">
        <v>187</v>
      </c>
      <c r="C11" s="168">
        <v>26884</v>
      </c>
      <c r="D11" s="168">
        <v>28248</v>
      </c>
      <c r="E11" s="168">
        <v>30442</v>
      </c>
      <c r="F11" s="168">
        <v>25634</v>
      </c>
      <c r="G11" s="170">
        <f>4.64*1000</f>
        <v>4640</v>
      </c>
      <c r="H11" s="261">
        <v>1940</v>
      </c>
      <c r="J11" s="12"/>
      <c r="K11" s="12"/>
      <c r="L11" s="12"/>
      <c r="M11" s="12"/>
    </row>
    <row r="12" spans="2:13" ht="29.5" customHeight="1" thickBot="1" x14ac:dyDescent="0.4">
      <c r="B12" s="178" t="s">
        <v>188</v>
      </c>
      <c r="C12" s="169">
        <v>0</v>
      </c>
      <c r="D12" s="175">
        <v>0</v>
      </c>
      <c r="E12" s="181">
        <v>0</v>
      </c>
      <c r="F12" s="176">
        <v>0</v>
      </c>
      <c r="G12" s="171">
        <v>0</v>
      </c>
      <c r="H12" s="175">
        <v>0</v>
      </c>
      <c r="J12" s="12"/>
      <c r="K12" s="12"/>
      <c r="L12" s="12"/>
      <c r="M12" s="12"/>
    </row>
    <row r="13" spans="2:13" ht="28" customHeight="1" thickBot="1" x14ac:dyDescent="0.4">
      <c r="B13" s="178" t="s">
        <v>189</v>
      </c>
      <c r="C13" s="175">
        <v>0</v>
      </c>
      <c r="D13" s="169">
        <v>0</v>
      </c>
      <c r="E13" s="182">
        <v>0</v>
      </c>
      <c r="F13" s="183">
        <v>0</v>
      </c>
      <c r="G13" s="170">
        <v>0</v>
      </c>
      <c r="H13" s="175">
        <v>0</v>
      </c>
      <c r="J13" s="12"/>
      <c r="K13" s="12"/>
      <c r="L13" s="12"/>
      <c r="M13" s="12"/>
    </row>
    <row r="14" spans="2:13" ht="28" customHeight="1" thickBot="1" x14ac:dyDescent="0.4">
      <c r="B14" s="178" t="s">
        <v>190</v>
      </c>
      <c r="C14" s="169">
        <v>147</v>
      </c>
      <c r="D14" s="169">
        <v>0</v>
      </c>
      <c r="E14" s="183">
        <v>0</v>
      </c>
      <c r="F14" s="168">
        <v>353</v>
      </c>
      <c r="G14" s="170">
        <f>1.2*1000</f>
        <v>1200</v>
      </c>
      <c r="H14" s="260">
        <v>8990</v>
      </c>
      <c r="J14" s="12"/>
      <c r="K14" s="12"/>
      <c r="L14" s="12"/>
      <c r="M14" s="12"/>
    </row>
    <row r="15" spans="2:13" ht="28" customHeight="1" thickBot="1" x14ac:dyDescent="0.4">
      <c r="B15" s="178" t="s">
        <v>145</v>
      </c>
      <c r="C15" s="169">
        <v>0</v>
      </c>
      <c r="D15" s="169">
        <v>0</v>
      </c>
      <c r="E15" s="168">
        <v>7</v>
      </c>
      <c r="F15" s="183">
        <v>0</v>
      </c>
      <c r="G15" s="170">
        <f>0.02*1000</f>
        <v>20</v>
      </c>
      <c r="H15" s="175">
        <v>0.04</v>
      </c>
      <c r="J15" s="12"/>
      <c r="K15" s="12"/>
      <c r="L15" s="12"/>
      <c r="M15" s="12"/>
    </row>
    <row r="16" spans="2:13" ht="28.5" customHeight="1" thickBot="1" x14ac:dyDescent="0.4">
      <c r="B16" s="178" t="s">
        <v>191</v>
      </c>
      <c r="C16" s="169">
        <v>0</v>
      </c>
      <c r="D16" s="169">
        <v>0</v>
      </c>
      <c r="E16" s="183">
        <v>0</v>
      </c>
      <c r="F16" s="183">
        <v>0</v>
      </c>
      <c r="G16" s="170">
        <v>0</v>
      </c>
      <c r="H16" s="169">
        <v>0</v>
      </c>
      <c r="J16" s="12"/>
      <c r="K16" s="12"/>
      <c r="L16" s="12"/>
      <c r="M16" s="12"/>
    </row>
    <row r="17" spans="2:13" ht="29.5" customHeight="1" x14ac:dyDescent="0.35">
      <c r="B17" s="384" t="s">
        <v>194</v>
      </c>
      <c r="C17" s="384"/>
      <c r="D17" s="384"/>
      <c r="E17" s="384"/>
      <c r="F17" s="14"/>
      <c r="G17" s="12"/>
      <c r="H17" s="252"/>
      <c r="I17" s="12"/>
      <c r="J17" s="12"/>
      <c r="K17" s="12"/>
      <c r="L17" s="12"/>
      <c r="M17" s="12"/>
    </row>
    <row r="18" spans="2:13" x14ac:dyDescent="0.45">
      <c r="B18" s="264" t="s">
        <v>194</v>
      </c>
    </row>
  </sheetData>
  <mergeCells count="2">
    <mergeCell ref="B1:G1"/>
    <mergeCell ref="B17:E1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6BE9-03C2-4FAA-8C1C-D642BF08FFE9}">
  <dimension ref="B1:M43"/>
  <sheetViews>
    <sheetView workbookViewId="0">
      <selection activeCell="D44" sqref="D44"/>
    </sheetView>
  </sheetViews>
  <sheetFormatPr defaultRowHeight="14.5" x14ac:dyDescent="0.35"/>
  <cols>
    <col min="2" max="2" width="24.81640625" customWidth="1"/>
    <col min="3" max="3" width="24.54296875" customWidth="1"/>
    <col min="4" max="4" width="12" customWidth="1"/>
    <col min="5" max="5" width="11.90625" customWidth="1"/>
    <col min="6" max="6" width="11.6328125" customWidth="1"/>
    <col min="7" max="7" width="11.54296875" customWidth="1"/>
    <col min="8" max="8" width="8.7265625" style="238"/>
  </cols>
  <sheetData>
    <row r="1" spans="2:13" ht="32.5" customHeight="1" thickBot="1" x14ac:dyDescent="0.4">
      <c r="B1" s="385" t="s">
        <v>306</v>
      </c>
      <c r="C1" s="385"/>
      <c r="D1" s="385"/>
      <c r="E1" s="385"/>
      <c r="F1" s="385"/>
      <c r="G1" s="385"/>
      <c r="H1" s="237"/>
      <c r="I1" s="15"/>
      <c r="J1" s="15"/>
      <c r="K1" s="15"/>
      <c r="L1" s="15"/>
      <c r="M1" s="15"/>
    </row>
    <row r="2" spans="2:13" ht="16" thickBot="1" x14ac:dyDescent="0.4">
      <c r="B2" s="395" t="s">
        <v>146</v>
      </c>
      <c r="C2" s="396"/>
      <c r="D2" s="322">
        <v>2018</v>
      </c>
      <c r="E2" s="322">
        <v>2019</v>
      </c>
      <c r="F2" s="322">
        <v>2020</v>
      </c>
      <c r="G2" s="322">
        <v>2021</v>
      </c>
      <c r="H2" s="323">
        <v>2022</v>
      </c>
      <c r="J2" s="15"/>
      <c r="K2" s="15"/>
      <c r="L2" s="15"/>
      <c r="M2" s="15"/>
    </row>
    <row r="3" spans="2:13" ht="12" customHeight="1" x14ac:dyDescent="0.35">
      <c r="B3" s="393" t="s">
        <v>147</v>
      </c>
      <c r="C3" s="324" t="s">
        <v>148</v>
      </c>
      <c r="D3" s="205">
        <v>1173</v>
      </c>
      <c r="E3" s="319">
        <v>928.29</v>
      </c>
      <c r="F3" s="320">
        <v>724.02687000000003</v>
      </c>
      <c r="G3" s="208">
        <v>339</v>
      </c>
      <c r="H3" s="321">
        <v>760</v>
      </c>
      <c r="J3" s="15"/>
      <c r="K3" s="15"/>
      <c r="L3" s="15"/>
      <c r="M3" s="15"/>
    </row>
    <row r="4" spans="2:13" ht="11" customHeight="1" x14ac:dyDescent="0.35">
      <c r="B4" s="391"/>
      <c r="C4" s="325" t="s">
        <v>149</v>
      </c>
      <c r="D4" s="184">
        <v>296</v>
      </c>
      <c r="E4" s="185">
        <v>202.7</v>
      </c>
      <c r="F4" s="186">
        <v>264.04417000000001</v>
      </c>
      <c r="G4" s="187">
        <v>141</v>
      </c>
      <c r="H4" s="308">
        <v>348</v>
      </c>
      <c r="J4" s="15"/>
      <c r="K4" s="15"/>
      <c r="L4" s="15"/>
      <c r="M4" s="15"/>
    </row>
    <row r="5" spans="2:13" ht="11.5" customHeight="1" x14ac:dyDescent="0.35">
      <c r="B5" s="391"/>
      <c r="C5" s="325" t="s">
        <v>150</v>
      </c>
      <c r="D5" s="184">
        <v>4.1900000000000004</v>
      </c>
      <c r="E5" s="188">
        <v>2.69042</v>
      </c>
      <c r="F5" s="189">
        <v>4.8444947000000003</v>
      </c>
      <c r="G5" s="187">
        <v>1.96</v>
      </c>
      <c r="H5" s="308">
        <v>5.4</v>
      </c>
      <c r="J5" s="15"/>
      <c r="K5" s="15"/>
      <c r="L5" s="15"/>
      <c r="M5" s="15"/>
    </row>
    <row r="6" spans="2:13" ht="11" customHeight="1" thickBot="1" x14ac:dyDescent="0.4">
      <c r="B6" s="394"/>
      <c r="C6" s="325" t="s">
        <v>151</v>
      </c>
      <c r="D6" s="190">
        <f>(4.19*1000)/D4</f>
        <v>14.155405405405405</v>
      </c>
      <c r="E6" s="191">
        <f>(E5*1000)/E4</f>
        <v>13.272915638875187</v>
      </c>
      <c r="F6" s="190">
        <f>(F5*1000)/F4</f>
        <v>18.347289016076363</v>
      </c>
      <c r="G6" s="190">
        <f>(G5*1000)/G4</f>
        <v>13.900709219858156</v>
      </c>
      <c r="H6" s="308">
        <v>16</v>
      </c>
      <c r="J6" s="15"/>
      <c r="K6" s="15"/>
      <c r="L6" s="15"/>
      <c r="M6" s="15"/>
    </row>
    <row r="7" spans="2:13" ht="11" customHeight="1" x14ac:dyDescent="0.35">
      <c r="B7" s="393" t="s">
        <v>152</v>
      </c>
      <c r="C7" s="325" t="s">
        <v>148</v>
      </c>
      <c r="D7" s="184">
        <v>325527</v>
      </c>
      <c r="E7" s="192">
        <v>275146.761446541</v>
      </c>
      <c r="F7" s="193">
        <v>269565.61331515154</v>
      </c>
      <c r="G7" s="194">
        <v>221138</v>
      </c>
      <c r="H7" s="309">
        <v>166720</v>
      </c>
      <c r="J7" s="15"/>
      <c r="K7" s="15"/>
      <c r="L7" s="15"/>
      <c r="M7" s="15"/>
    </row>
    <row r="8" spans="2:13" ht="11" customHeight="1" x14ac:dyDescent="0.35">
      <c r="B8" s="391"/>
      <c r="C8" s="325" t="s">
        <v>149</v>
      </c>
      <c r="D8" s="184">
        <v>180283</v>
      </c>
      <c r="E8" s="192">
        <v>166237.78333333333</v>
      </c>
      <c r="F8" s="193">
        <v>124357.38271515153</v>
      </c>
      <c r="G8" s="194">
        <v>144365</v>
      </c>
      <c r="H8" s="309">
        <v>94705</v>
      </c>
      <c r="J8" s="15"/>
      <c r="K8" s="15"/>
      <c r="L8" s="15"/>
      <c r="M8" s="15"/>
    </row>
    <row r="9" spans="2:13" ht="11.5" customHeight="1" x14ac:dyDescent="0.35">
      <c r="B9" s="391"/>
      <c r="C9" s="325" t="s">
        <v>150</v>
      </c>
      <c r="D9" s="184">
        <v>2621.27</v>
      </c>
      <c r="E9" s="188">
        <v>2368.4835099999996</v>
      </c>
      <c r="F9" s="195">
        <v>3766.2430227272725</v>
      </c>
      <c r="G9" s="187">
        <v>591.74</v>
      </c>
      <c r="H9" s="309">
        <v>1643.96</v>
      </c>
      <c r="J9" s="15"/>
      <c r="K9" s="15"/>
      <c r="L9" s="15"/>
      <c r="M9" s="15"/>
    </row>
    <row r="10" spans="2:13" ht="9.5" customHeight="1" thickBot="1" x14ac:dyDescent="0.4">
      <c r="B10" s="394"/>
      <c r="C10" s="325" t="s">
        <v>151</v>
      </c>
      <c r="D10" s="190">
        <f>(D9*1000)/D8</f>
        <v>14.539751390868801</v>
      </c>
      <c r="E10" s="191">
        <f>(E9*1000)/E8</f>
        <v>14.247564317257599</v>
      </c>
      <c r="F10" s="196">
        <f>(F9*1000)/F8</f>
        <v>30.285640791862683</v>
      </c>
      <c r="G10" s="196">
        <f>(G9*1000)/G8</f>
        <v>4.0989159422297652</v>
      </c>
      <c r="H10" s="309">
        <v>17</v>
      </c>
      <c r="J10" s="15"/>
      <c r="K10" s="15"/>
      <c r="L10" s="15"/>
      <c r="M10" s="15"/>
    </row>
    <row r="11" spans="2:13" ht="10.5" customHeight="1" x14ac:dyDescent="0.35">
      <c r="B11" s="393" t="s">
        <v>153</v>
      </c>
      <c r="C11" s="325" t="s">
        <v>148</v>
      </c>
      <c r="D11" s="184">
        <v>20433</v>
      </c>
      <c r="E11" s="192">
        <v>23374.312584738687</v>
      </c>
      <c r="F11" s="193">
        <v>21945.563860000002</v>
      </c>
      <c r="G11" s="194">
        <v>14015</v>
      </c>
      <c r="H11" s="309">
        <v>16977</v>
      </c>
      <c r="J11" s="15"/>
      <c r="K11" s="15"/>
      <c r="L11" s="15"/>
      <c r="M11" s="15"/>
    </row>
    <row r="12" spans="2:13" ht="10.5" customHeight="1" x14ac:dyDescent="0.35">
      <c r="B12" s="391"/>
      <c r="C12" s="325" t="s">
        <v>149</v>
      </c>
      <c r="D12" s="184">
        <v>6003</v>
      </c>
      <c r="E12" s="197">
        <v>5327.54</v>
      </c>
      <c r="F12" s="193">
        <v>8267.7862600000008</v>
      </c>
      <c r="G12" s="194">
        <v>4632</v>
      </c>
      <c r="H12" s="309">
        <v>6675</v>
      </c>
      <c r="J12" s="15"/>
      <c r="K12" s="15"/>
      <c r="L12" s="15"/>
      <c r="M12" s="15"/>
    </row>
    <row r="13" spans="2:13" ht="10.5" customHeight="1" x14ac:dyDescent="0.35">
      <c r="B13" s="391"/>
      <c r="C13" s="325" t="s">
        <v>150</v>
      </c>
      <c r="D13" s="184">
        <v>79.66</v>
      </c>
      <c r="E13" s="188">
        <v>43.761270000000003</v>
      </c>
      <c r="F13" s="198">
        <v>141.19335500000003</v>
      </c>
      <c r="G13" s="187">
        <v>71.19</v>
      </c>
      <c r="H13" s="309">
        <v>70.94</v>
      </c>
      <c r="J13" s="15"/>
      <c r="K13" s="15"/>
      <c r="L13" s="15"/>
      <c r="M13" s="15"/>
    </row>
    <row r="14" spans="2:13" ht="10.5" customHeight="1" thickBot="1" x14ac:dyDescent="0.4">
      <c r="B14" s="394"/>
      <c r="C14" s="325" t="s">
        <v>151</v>
      </c>
      <c r="D14" s="190">
        <f>(D13*1000)/D12</f>
        <v>13.270031650841245</v>
      </c>
      <c r="E14" s="191">
        <f>(E13*1000)/E12</f>
        <v>8.2141607571224249</v>
      </c>
      <c r="F14" s="199">
        <f>(F13*1000)/F12</f>
        <v>17.077528441089626</v>
      </c>
      <c r="G14" s="200">
        <f>(G13*1000)/G12</f>
        <v>15.369170984455959</v>
      </c>
      <c r="H14" s="310">
        <v>11</v>
      </c>
      <c r="J14" s="15"/>
      <c r="K14" s="15"/>
      <c r="L14" s="15"/>
      <c r="M14" s="15"/>
    </row>
    <row r="15" spans="2:13" ht="10.5" customHeight="1" x14ac:dyDescent="0.35">
      <c r="B15" s="387" t="s">
        <v>154</v>
      </c>
      <c r="C15" s="325" t="s">
        <v>148</v>
      </c>
      <c r="D15" s="184">
        <v>4167</v>
      </c>
      <c r="E15" s="192">
        <v>4372.7494339622644</v>
      </c>
      <c r="F15" s="193">
        <v>3912.4353799999999</v>
      </c>
      <c r="G15" s="194">
        <v>3428</v>
      </c>
      <c r="H15" s="309">
        <v>2999</v>
      </c>
      <c r="J15" s="15"/>
      <c r="K15" s="15"/>
      <c r="L15" s="15"/>
      <c r="M15" s="15"/>
    </row>
    <row r="16" spans="2:13" ht="10.5" customHeight="1" x14ac:dyDescent="0.35">
      <c r="B16" s="388"/>
      <c r="C16" s="325" t="s">
        <v>149</v>
      </c>
      <c r="D16" s="184">
        <v>2775</v>
      </c>
      <c r="E16" s="192">
        <v>2422.8700000000003</v>
      </c>
      <c r="F16" s="193">
        <v>2728.0320000000002</v>
      </c>
      <c r="G16" s="194">
        <v>2228</v>
      </c>
      <c r="H16" s="309">
        <v>1769</v>
      </c>
      <c r="J16" s="15"/>
      <c r="K16" s="15"/>
      <c r="L16" s="15"/>
      <c r="M16" s="15"/>
    </row>
    <row r="17" spans="2:13" ht="10.5" customHeight="1" x14ac:dyDescent="0.35">
      <c r="B17" s="388"/>
      <c r="C17" s="325" t="s">
        <v>150</v>
      </c>
      <c r="D17" s="184">
        <v>76.22</v>
      </c>
      <c r="E17" s="188">
        <v>62.520330000000001</v>
      </c>
      <c r="F17" s="198">
        <v>57.763592000000003</v>
      </c>
      <c r="G17" s="201">
        <v>37.6</v>
      </c>
      <c r="H17" s="309">
        <v>35.21</v>
      </c>
      <c r="J17" s="15"/>
      <c r="K17" s="15"/>
      <c r="L17" s="15"/>
      <c r="M17" s="15"/>
    </row>
    <row r="18" spans="2:13" ht="10.5" customHeight="1" thickBot="1" x14ac:dyDescent="0.4">
      <c r="B18" s="389"/>
      <c r="C18" s="325" t="s">
        <v>151</v>
      </c>
      <c r="D18" s="190">
        <f>(D17*1000)/D16</f>
        <v>27.466666666666665</v>
      </c>
      <c r="E18" s="191">
        <f>(E17*1000)/E16</f>
        <v>25.804244552947534</v>
      </c>
      <c r="F18" s="199">
        <f>(F17*1000)/F16</f>
        <v>21.174088866992761</v>
      </c>
      <c r="G18" s="200">
        <f>(G17*1000)/G16</f>
        <v>16.87612208258528</v>
      </c>
      <c r="H18" s="310">
        <v>20</v>
      </c>
      <c r="J18" s="15"/>
      <c r="K18" s="15"/>
      <c r="L18" s="15"/>
      <c r="M18" s="15"/>
    </row>
    <row r="19" spans="2:13" ht="10.5" customHeight="1" x14ac:dyDescent="0.35">
      <c r="B19" s="387" t="s">
        <v>155</v>
      </c>
      <c r="C19" s="325" t="s">
        <v>148</v>
      </c>
      <c r="D19" s="184">
        <v>3331</v>
      </c>
      <c r="E19" s="192">
        <v>3741.9037735849056</v>
      </c>
      <c r="F19" s="193">
        <v>3046.6981929999997</v>
      </c>
      <c r="G19" s="194">
        <v>1740</v>
      </c>
      <c r="H19" s="311">
        <v>4183</v>
      </c>
      <c r="J19" s="15"/>
      <c r="K19" s="15"/>
      <c r="L19" s="15"/>
      <c r="M19" s="15"/>
    </row>
    <row r="20" spans="2:13" ht="10.5" customHeight="1" x14ac:dyDescent="0.35">
      <c r="B20" s="388"/>
      <c r="C20" s="325" t="s">
        <v>149</v>
      </c>
      <c r="D20" s="184">
        <v>1160</v>
      </c>
      <c r="E20" s="192">
        <v>1485.55</v>
      </c>
      <c r="F20" s="193">
        <v>1413.2370000000001</v>
      </c>
      <c r="G20" s="187">
        <v>883</v>
      </c>
      <c r="H20" s="311">
        <v>1337</v>
      </c>
      <c r="J20" s="15"/>
      <c r="K20" s="15"/>
      <c r="L20" s="15"/>
      <c r="M20" s="15"/>
    </row>
    <row r="21" spans="2:13" ht="10.5" customHeight="1" x14ac:dyDescent="0.35">
      <c r="B21" s="388"/>
      <c r="C21" s="325" t="s">
        <v>150</v>
      </c>
      <c r="D21" s="184">
        <v>27.61</v>
      </c>
      <c r="E21" s="188">
        <v>34.046290000000006</v>
      </c>
      <c r="F21" s="198">
        <v>31.102683139999996</v>
      </c>
      <c r="G21" s="187">
        <v>18.670000000000002</v>
      </c>
      <c r="H21" s="311">
        <v>29.84</v>
      </c>
      <c r="J21" s="15"/>
      <c r="K21" s="15"/>
      <c r="L21" s="15"/>
      <c r="M21" s="15"/>
    </row>
    <row r="22" spans="2:13" ht="10.5" customHeight="1" thickBot="1" x14ac:dyDescent="0.4">
      <c r="B22" s="389"/>
      <c r="C22" s="325" t="s">
        <v>151</v>
      </c>
      <c r="D22" s="190">
        <f>(D21*1000)/D20</f>
        <v>23.801724137931036</v>
      </c>
      <c r="E22" s="191">
        <f>(E21*1000)/E20</f>
        <v>22.91830635118307</v>
      </c>
      <c r="F22" s="202">
        <f>(F21*1000)/F20</f>
        <v>22.008115510703437</v>
      </c>
      <c r="G22" s="203">
        <f>(G21*1000)/G20</f>
        <v>21.143827859569647</v>
      </c>
      <c r="H22" s="311">
        <v>22</v>
      </c>
      <c r="J22" s="15"/>
      <c r="K22" s="15"/>
      <c r="L22" s="15"/>
      <c r="M22" s="15"/>
    </row>
    <row r="23" spans="2:13" ht="10.5" customHeight="1" x14ac:dyDescent="0.35">
      <c r="B23" s="393" t="s">
        <v>156</v>
      </c>
      <c r="C23" s="325" t="s">
        <v>148</v>
      </c>
      <c r="D23" s="184">
        <v>1379</v>
      </c>
      <c r="E23" s="192">
        <v>1512.8896226415095</v>
      </c>
      <c r="F23" s="193">
        <v>1203.3348659999999</v>
      </c>
      <c r="G23" s="187">
        <v>433</v>
      </c>
      <c r="H23" s="311">
        <v>1489</v>
      </c>
      <c r="J23" s="15"/>
      <c r="K23" s="15"/>
      <c r="L23" s="15"/>
      <c r="M23" s="15"/>
    </row>
    <row r="24" spans="2:13" ht="10.5" customHeight="1" x14ac:dyDescent="0.35">
      <c r="B24" s="391"/>
      <c r="C24" s="325" t="s">
        <v>149</v>
      </c>
      <c r="D24" s="184">
        <v>828</v>
      </c>
      <c r="E24" s="192">
        <v>720.83</v>
      </c>
      <c r="F24" s="193">
        <v>807.45801099999983</v>
      </c>
      <c r="G24" s="187">
        <v>329</v>
      </c>
      <c r="H24" s="311">
        <v>538</v>
      </c>
      <c r="J24" s="15"/>
      <c r="K24" s="15"/>
      <c r="L24" s="15"/>
      <c r="M24" s="15"/>
    </row>
    <row r="25" spans="2:13" ht="10.5" customHeight="1" x14ac:dyDescent="0.35">
      <c r="B25" s="391"/>
      <c r="C25" s="325" t="s">
        <v>150</v>
      </c>
      <c r="D25" s="184">
        <v>41.33</v>
      </c>
      <c r="E25" s="188">
        <v>67.48124</v>
      </c>
      <c r="F25" s="198">
        <v>28.385532699999999</v>
      </c>
      <c r="G25" s="187">
        <v>7.31</v>
      </c>
      <c r="H25" s="312">
        <v>18.3</v>
      </c>
      <c r="J25" s="15"/>
      <c r="K25" s="15"/>
      <c r="L25" s="15"/>
      <c r="M25" s="15"/>
    </row>
    <row r="26" spans="2:13" ht="10.5" customHeight="1" thickBot="1" x14ac:dyDescent="0.4">
      <c r="B26" s="394"/>
      <c r="C26" s="325" t="s">
        <v>151</v>
      </c>
      <c r="D26" s="190">
        <f>(D25*1000)/D24</f>
        <v>49.915458937198068</v>
      </c>
      <c r="E26" s="191">
        <f>(E25*1000)/E24</f>
        <v>93.616025970062296</v>
      </c>
      <c r="F26" s="204">
        <f>(F25*1000)/F24</f>
        <v>35.154190451149049</v>
      </c>
      <c r="G26" s="204">
        <f>(G25*1000)/G24</f>
        <v>22.218844984802431</v>
      </c>
      <c r="H26" s="313">
        <v>34</v>
      </c>
      <c r="J26" s="15"/>
      <c r="K26" s="15"/>
      <c r="L26" s="15"/>
      <c r="M26" s="15"/>
    </row>
    <row r="27" spans="2:13" ht="10.5" customHeight="1" x14ac:dyDescent="0.35">
      <c r="B27" s="393" t="s">
        <v>157</v>
      </c>
      <c r="C27" s="325" t="s">
        <v>148</v>
      </c>
      <c r="D27" s="184">
        <v>56877</v>
      </c>
      <c r="E27" s="192">
        <v>57616.82547169811</v>
      </c>
      <c r="F27" s="186">
        <v>73389.925797999997</v>
      </c>
      <c r="G27" s="194">
        <v>76156</v>
      </c>
      <c r="H27" s="311">
        <v>99915</v>
      </c>
      <c r="J27" s="15"/>
      <c r="K27" s="15"/>
      <c r="L27" s="15"/>
      <c r="M27" s="15"/>
    </row>
    <row r="28" spans="2:13" ht="10.5" customHeight="1" x14ac:dyDescent="0.35">
      <c r="B28" s="391"/>
      <c r="C28" s="325" t="s">
        <v>149</v>
      </c>
      <c r="D28" s="184">
        <v>9884</v>
      </c>
      <c r="E28" s="192">
        <v>9191.0399999999991</v>
      </c>
      <c r="F28" s="186">
        <v>10479.14373</v>
      </c>
      <c r="G28" s="194">
        <v>14572</v>
      </c>
      <c r="H28" s="311">
        <v>12979</v>
      </c>
      <c r="J28" s="15"/>
      <c r="K28" s="15"/>
      <c r="L28" s="15"/>
      <c r="M28" s="15"/>
    </row>
    <row r="29" spans="2:13" ht="10.5" customHeight="1" x14ac:dyDescent="0.35">
      <c r="B29" s="391"/>
      <c r="C29" s="325" t="s">
        <v>150</v>
      </c>
      <c r="D29" s="184">
        <v>83.15</v>
      </c>
      <c r="E29" s="188">
        <v>46.842100000000002</v>
      </c>
      <c r="F29" s="189">
        <v>226.89716100000001</v>
      </c>
      <c r="G29" s="187">
        <v>101.25</v>
      </c>
      <c r="H29" s="311">
        <v>90.57</v>
      </c>
      <c r="J29" s="15"/>
      <c r="K29" s="15"/>
      <c r="L29" s="15"/>
      <c r="M29" s="15"/>
    </row>
    <row r="30" spans="2:13" ht="10.5" customHeight="1" thickBot="1" x14ac:dyDescent="0.4">
      <c r="B30" s="394"/>
      <c r="C30" s="325" t="s">
        <v>151</v>
      </c>
      <c r="D30" s="190">
        <f>(D29*1000)/D28</f>
        <v>8.4125859975718331</v>
      </c>
      <c r="E30" s="191">
        <f>(E29*1000)/E28</f>
        <v>5.0964961527748764</v>
      </c>
      <c r="F30" s="212">
        <f>(F29*1000)/F28</f>
        <v>21.652261563168771</v>
      </c>
      <c r="G30" s="211">
        <f>(G29*1000)/G28</f>
        <v>6.9482569311007412</v>
      </c>
      <c r="H30" s="308">
        <v>7</v>
      </c>
      <c r="J30" s="15"/>
      <c r="K30" s="15"/>
      <c r="L30" s="15"/>
      <c r="M30" s="15"/>
    </row>
    <row r="31" spans="2:13" ht="10.5" customHeight="1" x14ac:dyDescent="0.35">
      <c r="B31" s="390" t="s">
        <v>158</v>
      </c>
      <c r="C31" s="325" t="s">
        <v>148</v>
      </c>
      <c r="D31" s="205">
        <v>1828</v>
      </c>
      <c r="E31" s="206">
        <v>1186.5709433962265</v>
      </c>
      <c r="F31" s="207">
        <v>1377.8354650000001</v>
      </c>
      <c r="G31" s="208">
        <v>689</v>
      </c>
      <c r="H31" s="311">
        <v>1398</v>
      </c>
      <c r="J31" s="15"/>
      <c r="K31" s="15"/>
      <c r="L31" s="15"/>
      <c r="M31" s="15"/>
    </row>
    <row r="32" spans="2:13" ht="10.5" customHeight="1" x14ac:dyDescent="0.35">
      <c r="B32" s="391"/>
      <c r="C32" s="325" t="s">
        <v>149</v>
      </c>
      <c r="D32" s="184">
        <v>380</v>
      </c>
      <c r="E32" s="192">
        <v>356.09000000000003</v>
      </c>
      <c r="F32" s="193">
        <v>437.23293899999993</v>
      </c>
      <c r="G32" s="187">
        <v>211</v>
      </c>
      <c r="H32" s="311">
        <v>331</v>
      </c>
      <c r="J32" s="15"/>
      <c r="K32" s="15"/>
      <c r="L32" s="15"/>
      <c r="M32" s="15"/>
    </row>
    <row r="33" spans="2:13" ht="10.5" customHeight="1" x14ac:dyDescent="0.35">
      <c r="B33" s="391"/>
      <c r="C33" s="325" t="s">
        <v>150</v>
      </c>
      <c r="D33" s="184">
        <v>8.73</v>
      </c>
      <c r="E33" s="188">
        <v>5.7774300000000007</v>
      </c>
      <c r="F33" s="198">
        <v>6.5028938000000007</v>
      </c>
      <c r="G33" s="187">
        <v>4.0599999999999996</v>
      </c>
      <c r="H33" s="311">
        <v>7.63</v>
      </c>
      <c r="J33" s="15"/>
      <c r="K33" s="15"/>
      <c r="L33" s="15"/>
      <c r="M33" s="15"/>
    </row>
    <row r="34" spans="2:13" ht="10.5" customHeight="1" thickBot="1" x14ac:dyDescent="0.4">
      <c r="B34" s="392"/>
      <c r="C34" s="325" t="s">
        <v>151</v>
      </c>
      <c r="D34" s="190">
        <f>(D33*1000)/D32</f>
        <v>22.973684210526315</v>
      </c>
      <c r="E34" s="191">
        <f>(E33*1000)/E32</f>
        <v>16.224634221685527</v>
      </c>
      <c r="F34" s="204">
        <f>(F33*1000)/F32</f>
        <v>14.872836010189072</v>
      </c>
      <c r="G34" s="204">
        <f>(G33*1000)/G32</f>
        <v>19.24170616113744</v>
      </c>
      <c r="H34" s="313">
        <v>23</v>
      </c>
      <c r="J34" s="15"/>
      <c r="K34" s="15"/>
      <c r="L34" s="15"/>
      <c r="M34" s="15"/>
    </row>
    <row r="35" spans="2:13" ht="10.5" customHeight="1" x14ac:dyDescent="0.35">
      <c r="B35" s="393" t="s">
        <v>159</v>
      </c>
      <c r="C35" s="325" t="s">
        <v>148</v>
      </c>
      <c r="D35" s="184">
        <v>48000</v>
      </c>
      <c r="E35" s="192">
        <v>51902.429811320748</v>
      </c>
      <c r="F35" s="193">
        <v>36466.651899999997</v>
      </c>
      <c r="G35" s="194">
        <v>39990</v>
      </c>
      <c r="H35" s="311">
        <v>37371</v>
      </c>
      <c r="J35" s="15"/>
      <c r="K35" s="15"/>
      <c r="L35" s="15"/>
      <c r="M35" s="15"/>
    </row>
    <row r="36" spans="2:13" ht="10.5" customHeight="1" x14ac:dyDescent="0.35">
      <c r="B36" s="391"/>
      <c r="C36" s="325" t="s">
        <v>149</v>
      </c>
      <c r="D36" s="184">
        <v>14324</v>
      </c>
      <c r="E36" s="192">
        <v>12059.579999999998</v>
      </c>
      <c r="F36" s="193">
        <v>11136.546900000001</v>
      </c>
      <c r="G36" s="194">
        <v>10057</v>
      </c>
      <c r="H36" s="311">
        <v>12775</v>
      </c>
      <c r="J36" s="15"/>
      <c r="K36" s="15"/>
      <c r="L36" s="15"/>
      <c r="M36" s="15"/>
    </row>
    <row r="37" spans="2:13" ht="10.5" customHeight="1" x14ac:dyDescent="0.35">
      <c r="B37" s="391"/>
      <c r="C37" s="325" t="s">
        <v>150</v>
      </c>
      <c r="D37" s="184">
        <v>216.85</v>
      </c>
      <c r="E37" s="188">
        <v>214.50569999999999</v>
      </c>
      <c r="F37" s="198">
        <v>185.67944499999999</v>
      </c>
      <c r="G37" s="187">
        <v>176.59</v>
      </c>
      <c r="H37" s="311">
        <v>179.21</v>
      </c>
      <c r="J37" s="15"/>
      <c r="K37" s="15"/>
      <c r="L37" s="15"/>
      <c r="M37" s="15"/>
    </row>
    <row r="38" spans="2:13" ht="10.5" customHeight="1" thickBot="1" x14ac:dyDescent="0.4">
      <c r="B38" s="394"/>
      <c r="C38" s="325" t="s">
        <v>151</v>
      </c>
      <c r="D38" s="190">
        <f>(D37*1000)/D36</f>
        <v>15.138927673834125</v>
      </c>
      <c r="E38" s="191">
        <f>(E37*1000)/E36</f>
        <v>17.787161741951213</v>
      </c>
      <c r="F38" s="209">
        <f>(F37*1000)/F36</f>
        <v>16.672981909679738</v>
      </c>
      <c r="G38" s="204">
        <f>(G37*1000)/G36</f>
        <v>17.558914189122003</v>
      </c>
      <c r="H38" s="313">
        <v>14</v>
      </c>
      <c r="J38" s="15"/>
      <c r="K38" s="15"/>
      <c r="L38" s="15"/>
      <c r="M38" s="15"/>
    </row>
    <row r="39" spans="2:13" ht="10.5" customHeight="1" x14ac:dyDescent="0.35">
      <c r="B39" s="390" t="s">
        <v>160</v>
      </c>
      <c r="C39" s="325" t="s">
        <v>148</v>
      </c>
      <c r="D39" s="184">
        <v>720</v>
      </c>
      <c r="E39" s="192">
        <v>695.76</v>
      </c>
      <c r="F39" s="193">
        <v>595.73618199999999</v>
      </c>
      <c r="G39" s="187">
        <v>198</v>
      </c>
      <c r="H39" s="311">
        <v>700</v>
      </c>
      <c r="J39" s="15"/>
      <c r="K39" s="15"/>
      <c r="L39" s="15"/>
      <c r="M39" s="15"/>
    </row>
    <row r="40" spans="2:13" ht="10.5" customHeight="1" x14ac:dyDescent="0.35">
      <c r="B40" s="391"/>
      <c r="C40" s="325" t="s">
        <v>149</v>
      </c>
      <c r="D40" s="184">
        <v>184</v>
      </c>
      <c r="E40" s="192">
        <v>257.11</v>
      </c>
      <c r="F40" s="193">
        <v>248.57430600000001</v>
      </c>
      <c r="G40" s="187">
        <v>106</v>
      </c>
      <c r="H40" s="311">
        <v>201</v>
      </c>
      <c r="J40" s="15"/>
      <c r="K40" s="15"/>
      <c r="L40" s="15"/>
      <c r="M40" s="15"/>
    </row>
    <row r="41" spans="2:13" ht="10.5" customHeight="1" x14ac:dyDescent="0.35">
      <c r="B41" s="391"/>
      <c r="C41" s="325" t="s">
        <v>150</v>
      </c>
      <c r="D41" s="184">
        <v>2.5</v>
      </c>
      <c r="E41" s="188">
        <v>3.22634</v>
      </c>
      <c r="F41" s="198">
        <v>5.0983357699999994</v>
      </c>
      <c r="G41" s="210">
        <v>1.7</v>
      </c>
      <c r="H41" s="311">
        <v>3.24</v>
      </c>
      <c r="J41" s="15"/>
      <c r="K41" s="15"/>
      <c r="L41" s="15"/>
      <c r="M41" s="15"/>
    </row>
    <row r="42" spans="2:13" ht="10.5" customHeight="1" thickBot="1" x14ac:dyDescent="0.4">
      <c r="B42" s="394"/>
      <c r="C42" s="326" t="s">
        <v>151</v>
      </c>
      <c r="D42" s="314">
        <f>(D41*1000)/D40</f>
        <v>13.586956521739131</v>
      </c>
      <c r="E42" s="315">
        <f>(E41*1000)/E40</f>
        <v>12.548481194819338</v>
      </c>
      <c r="F42" s="316">
        <f>(F41*1000)/F40</f>
        <v>20.510308776644035</v>
      </c>
      <c r="G42" s="317">
        <f>(G41*1000)/G40</f>
        <v>16.037735849056602</v>
      </c>
      <c r="H42" s="318">
        <v>16</v>
      </c>
      <c r="J42" s="15"/>
      <c r="K42" s="15"/>
      <c r="L42" s="15"/>
      <c r="M42" s="15"/>
    </row>
    <row r="43" spans="2:13" ht="15.5" x14ac:dyDescent="0.35">
      <c r="B43" s="386" t="s">
        <v>195</v>
      </c>
      <c r="C43" s="386"/>
      <c r="D43" s="15"/>
      <c r="E43" s="15"/>
      <c r="F43" s="15"/>
      <c r="G43" s="15"/>
      <c r="H43" s="237"/>
      <c r="I43" s="15"/>
      <c r="J43" s="15"/>
      <c r="K43" s="15"/>
      <c r="L43" s="15"/>
      <c r="M43" s="15"/>
    </row>
  </sheetData>
  <mergeCells count="13">
    <mergeCell ref="B1:G1"/>
    <mergeCell ref="B43:C43"/>
    <mergeCell ref="B15:B18"/>
    <mergeCell ref="B19:B22"/>
    <mergeCell ref="B31:B34"/>
    <mergeCell ref="B35:B38"/>
    <mergeCell ref="B39:B42"/>
    <mergeCell ref="B2:C2"/>
    <mergeCell ref="B3:B6"/>
    <mergeCell ref="B7:B10"/>
    <mergeCell ref="B11:B14"/>
    <mergeCell ref="B23:B26"/>
    <mergeCell ref="B27:B30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3B162-AB59-47D3-BE2B-A789C03F5851}">
  <dimension ref="B1:N47"/>
  <sheetViews>
    <sheetView topLeftCell="B12" workbookViewId="0">
      <selection activeCell="N14" sqref="N14"/>
    </sheetView>
  </sheetViews>
  <sheetFormatPr defaultRowHeight="14.5" x14ac:dyDescent="0.35"/>
  <cols>
    <col min="2" max="2" width="31.1796875" customWidth="1"/>
    <col min="3" max="3" width="24.08984375" customWidth="1"/>
    <col min="4" max="4" width="12.6328125" hidden="1" customWidth="1"/>
    <col min="5" max="5" width="11.1796875" customWidth="1"/>
    <col min="6" max="6" width="11.6328125" customWidth="1"/>
    <col min="7" max="7" width="11.54296875" customWidth="1"/>
    <col min="8" max="8" width="10.90625" customWidth="1"/>
  </cols>
  <sheetData>
    <row r="1" spans="2:14" ht="16" x14ac:dyDescent="0.35">
      <c r="B1" s="397" t="s">
        <v>304</v>
      </c>
      <c r="C1" s="397"/>
      <c r="D1" s="397"/>
      <c r="E1" s="397"/>
      <c r="F1" s="397"/>
      <c r="G1" s="397"/>
      <c r="H1" s="17"/>
      <c r="I1" s="17"/>
      <c r="J1" s="17"/>
      <c r="K1" s="17"/>
      <c r="L1" s="17"/>
      <c r="M1" s="17"/>
      <c r="N1" s="17"/>
    </row>
    <row r="2" spans="2:14" ht="8" customHeight="1" thickBot="1" x14ac:dyDescent="0.4">
      <c r="B2" s="275"/>
      <c r="C2" s="275"/>
      <c r="D2" s="275"/>
      <c r="E2" s="275"/>
      <c r="F2" s="275"/>
      <c r="G2" s="275"/>
      <c r="H2" s="17"/>
      <c r="I2" s="17"/>
      <c r="J2" s="17"/>
      <c r="K2" s="17"/>
      <c r="L2" s="17"/>
      <c r="M2" s="17"/>
      <c r="N2" s="17"/>
    </row>
    <row r="3" spans="2:14" ht="27" customHeight="1" thickBot="1" x14ac:dyDescent="0.4">
      <c r="B3" s="403" t="s">
        <v>179</v>
      </c>
      <c r="C3" s="404"/>
      <c r="D3" s="349">
        <v>2017</v>
      </c>
      <c r="E3" s="349">
        <v>2018</v>
      </c>
      <c r="F3" s="349">
        <v>2019</v>
      </c>
      <c r="G3" s="349">
        <v>2020</v>
      </c>
      <c r="H3" s="349">
        <v>2021</v>
      </c>
      <c r="I3" s="350">
        <v>2022</v>
      </c>
      <c r="K3" s="17"/>
      <c r="L3" s="17"/>
      <c r="M3" s="17"/>
      <c r="N3" s="17"/>
    </row>
    <row r="4" spans="2:14" ht="16" x14ac:dyDescent="0.35">
      <c r="B4" s="399" t="s">
        <v>162</v>
      </c>
      <c r="C4" s="351" t="s">
        <v>163</v>
      </c>
      <c r="D4" s="343">
        <v>336</v>
      </c>
      <c r="E4" s="344">
        <v>657.97</v>
      </c>
      <c r="F4" s="345">
        <v>533.67142857142858</v>
      </c>
      <c r="G4" s="346">
        <v>445.76675100000006</v>
      </c>
      <c r="H4" s="347">
        <v>303.75</v>
      </c>
      <c r="I4" s="348">
        <v>330.01</v>
      </c>
      <c r="K4" s="17"/>
      <c r="L4" s="17"/>
      <c r="M4" s="17"/>
      <c r="N4" s="17"/>
    </row>
    <row r="5" spans="2:14" ht="16" x14ac:dyDescent="0.35">
      <c r="B5" s="400"/>
      <c r="C5" s="352" t="s">
        <v>150</v>
      </c>
      <c r="D5" s="35">
        <v>7</v>
      </c>
      <c r="E5" s="18">
        <v>31.3</v>
      </c>
      <c r="F5" s="29">
        <v>44.148489999999995</v>
      </c>
      <c r="G5" s="38">
        <v>57.132829399999999</v>
      </c>
      <c r="H5" s="36">
        <v>97.7</v>
      </c>
      <c r="I5" s="338">
        <v>51.27</v>
      </c>
      <c r="K5" s="17"/>
      <c r="L5" s="17"/>
      <c r="M5" s="17"/>
      <c r="N5" s="17"/>
    </row>
    <row r="6" spans="2:14" ht="16.5" thickBot="1" x14ac:dyDescent="0.4">
      <c r="B6" s="401"/>
      <c r="C6" s="352" t="s">
        <v>164</v>
      </c>
      <c r="D6" s="41">
        <v>21</v>
      </c>
      <c r="E6" s="19">
        <f>(E5*1000)/E4</f>
        <v>47.570557928173017</v>
      </c>
      <c r="F6" s="21">
        <f>(F5*1000)/F4</f>
        <v>82.725976389967073</v>
      </c>
      <c r="G6" s="21">
        <f>(G5*1000)/G4</f>
        <v>128.16754338862745</v>
      </c>
      <c r="H6" s="21">
        <f>(H5*1000)/H4</f>
        <v>321.64609053497941</v>
      </c>
      <c r="I6" s="339">
        <v>155</v>
      </c>
      <c r="K6" s="17"/>
      <c r="L6" s="17"/>
      <c r="M6" s="17"/>
      <c r="N6" s="17"/>
    </row>
    <row r="7" spans="2:14" ht="16" x14ac:dyDescent="0.35">
      <c r="B7" s="399" t="s">
        <v>165</v>
      </c>
      <c r="C7" s="352" t="s">
        <v>163</v>
      </c>
      <c r="D7" s="42">
        <v>262</v>
      </c>
      <c r="E7" s="18">
        <v>160.36000000000001</v>
      </c>
      <c r="F7" s="30">
        <v>148.88</v>
      </c>
      <c r="G7" s="38">
        <v>241.00133349999999</v>
      </c>
      <c r="H7" s="36">
        <v>119.85</v>
      </c>
      <c r="I7" s="332">
        <v>126.33</v>
      </c>
      <c r="K7" s="17"/>
      <c r="L7" s="17"/>
      <c r="M7" s="17"/>
      <c r="N7" s="17"/>
    </row>
    <row r="8" spans="2:14" ht="16" x14ac:dyDescent="0.35">
      <c r="B8" s="400"/>
      <c r="C8" s="352" t="s">
        <v>150</v>
      </c>
      <c r="D8" s="43">
        <v>362</v>
      </c>
      <c r="E8" s="18">
        <v>296.89999999999998</v>
      </c>
      <c r="F8" s="31">
        <v>294.57934999999998</v>
      </c>
      <c r="G8" s="38">
        <v>464.78224599999999</v>
      </c>
      <c r="H8" s="36">
        <v>250.62</v>
      </c>
      <c r="I8" s="340">
        <v>265.32</v>
      </c>
      <c r="K8" s="17"/>
      <c r="L8" s="17"/>
      <c r="M8" s="17"/>
      <c r="N8" s="17"/>
    </row>
    <row r="9" spans="2:14" ht="16.5" thickBot="1" x14ac:dyDescent="0.4">
      <c r="B9" s="401"/>
      <c r="C9" s="352" t="s">
        <v>164</v>
      </c>
      <c r="D9" s="44">
        <v>1381</v>
      </c>
      <c r="E9" s="19">
        <f>(E8*1000)/E7</f>
        <v>1851.4592167622848</v>
      </c>
      <c r="F9" s="23">
        <f>(F8*1000)/F7</f>
        <v>1978.6361499193981</v>
      </c>
      <c r="G9" s="23">
        <f>(G8*1000)/G7</f>
        <v>1928.546366321247</v>
      </c>
      <c r="H9" s="23">
        <f>(H8*1000)/H7</f>
        <v>2091.1138923654571</v>
      </c>
      <c r="I9" s="341">
        <v>210</v>
      </c>
      <c r="K9" s="17"/>
      <c r="L9" s="17"/>
      <c r="M9" s="17"/>
      <c r="N9" s="17"/>
    </row>
    <row r="10" spans="2:14" ht="16" x14ac:dyDescent="0.35">
      <c r="B10" s="399" t="s">
        <v>166</v>
      </c>
      <c r="C10" s="352" t="s">
        <v>163</v>
      </c>
      <c r="D10" s="41">
        <v>85</v>
      </c>
      <c r="E10" s="18">
        <v>50.91</v>
      </c>
      <c r="F10" s="26">
        <v>80.929999999999993</v>
      </c>
      <c r="G10" s="38">
        <v>32.579061199999998</v>
      </c>
      <c r="H10" s="36">
        <v>10.97</v>
      </c>
      <c r="I10" s="329">
        <v>13.38</v>
      </c>
      <c r="K10" s="17"/>
      <c r="L10" s="17"/>
      <c r="M10" s="17"/>
      <c r="N10" s="17"/>
    </row>
    <row r="11" spans="2:14" ht="16" x14ac:dyDescent="0.35">
      <c r="B11" s="400"/>
      <c r="C11" s="352" t="s">
        <v>150</v>
      </c>
      <c r="D11" s="35">
        <v>20</v>
      </c>
      <c r="E11" s="18">
        <v>26.22</v>
      </c>
      <c r="F11" s="27">
        <v>31.229459999999996</v>
      </c>
      <c r="G11" s="38">
        <v>19.516719699999996</v>
      </c>
      <c r="H11" s="36">
        <v>10.28</v>
      </c>
      <c r="I11" s="327">
        <v>12.11</v>
      </c>
      <c r="K11" s="17"/>
      <c r="L11" s="17"/>
      <c r="M11" s="17"/>
      <c r="N11" s="17"/>
    </row>
    <row r="12" spans="2:14" ht="16.5" thickBot="1" x14ac:dyDescent="0.4">
      <c r="B12" s="401"/>
      <c r="C12" s="352" t="s">
        <v>164</v>
      </c>
      <c r="D12" s="41">
        <v>239</v>
      </c>
      <c r="E12" s="19">
        <f>(E11*1000)/E10</f>
        <v>515.02651738361817</v>
      </c>
      <c r="F12" s="21">
        <f>(F11*1000)/F10</f>
        <v>385.88236747806747</v>
      </c>
      <c r="G12" s="21">
        <f>(G11*1000)/G10</f>
        <v>599.05715453826508</v>
      </c>
      <c r="H12" s="21">
        <f>(H11*1000)/H10</f>
        <v>937.10118505013668</v>
      </c>
      <c r="I12" s="329">
        <v>905</v>
      </c>
      <c r="K12" s="17"/>
      <c r="L12" s="17"/>
      <c r="M12" s="17"/>
      <c r="N12" s="17"/>
    </row>
    <row r="13" spans="2:14" ht="16" x14ac:dyDescent="0.35">
      <c r="B13" s="399" t="s">
        <v>177</v>
      </c>
      <c r="C13" s="352" t="s">
        <v>163</v>
      </c>
      <c r="D13" s="41">
        <v>23</v>
      </c>
      <c r="E13" s="18">
        <v>18.21</v>
      </c>
      <c r="F13" s="26">
        <v>12.490000000000002</v>
      </c>
      <c r="G13" s="38">
        <v>17.434959200000002</v>
      </c>
      <c r="H13" s="36">
        <v>11.13</v>
      </c>
      <c r="I13" s="329">
        <v>10.210000000000001</v>
      </c>
      <c r="K13" s="17"/>
      <c r="L13" s="17"/>
      <c r="M13" s="17"/>
      <c r="N13" s="17"/>
    </row>
    <row r="14" spans="2:14" ht="16" x14ac:dyDescent="0.35">
      <c r="B14" s="400"/>
      <c r="C14" s="352" t="s">
        <v>150</v>
      </c>
      <c r="D14" s="41">
        <v>21</v>
      </c>
      <c r="E14" s="18">
        <v>20.87</v>
      </c>
      <c r="F14" s="27">
        <v>15.374900000000002</v>
      </c>
      <c r="G14" s="38">
        <v>23.05791146</v>
      </c>
      <c r="H14" s="36">
        <v>12.64</v>
      </c>
      <c r="I14" s="329">
        <v>11.8</v>
      </c>
      <c r="K14" s="17"/>
      <c r="L14" s="17"/>
      <c r="M14" s="17"/>
      <c r="N14" s="17"/>
    </row>
    <row r="15" spans="2:14" ht="16.5" thickBot="1" x14ac:dyDescent="0.4">
      <c r="B15" s="401"/>
      <c r="C15" s="352" t="s">
        <v>164</v>
      </c>
      <c r="D15" s="45">
        <v>884</v>
      </c>
      <c r="E15" s="19">
        <f>(E14*1000)/E13</f>
        <v>1146.0735859417903</v>
      </c>
      <c r="F15" s="21">
        <f>(F14*1000)/F13</f>
        <v>1230.97678142514</v>
      </c>
      <c r="G15" s="20">
        <f>(G14*1000)/G13</f>
        <v>1322.5102046697073</v>
      </c>
      <c r="H15" s="20">
        <f>(H14*1000)/H13</f>
        <v>1135.6693620844565</v>
      </c>
      <c r="I15" s="328">
        <v>1156</v>
      </c>
      <c r="K15" s="17"/>
      <c r="L15" s="17"/>
      <c r="M15" s="17"/>
      <c r="N15" s="17"/>
    </row>
    <row r="16" spans="2:14" ht="16" x14ac:dyDescent="0.35">
      <c r="B16" s="399" t="s">
        <v>167</v>
      </c>
      <c r="C16" s="352" t="s">
        <v>163</v>
      </c>
      <c r="D16" s="42">
        <v>328</v>
      </c>
      <c r="E16" s="18">
        <v>385.08</v>
      </c>
      <c r="F16" s="26">
        <v>383.02</v>
      </c>
      <c r="G16" s="38">
        <v>407.48457900000005</v>
      </c>
      <c r="H16" s="36">
        <v>231.51</v>
      </c>
      <c r="I16" s="332">
        <v>255.37</v>
      </c>
      <c r="K16" s="17"/>
      <c r="L16" s="17"/>
      <c r="M16" s="17"/>
      <c r="N16" s="17"/>
    </row>
    <row r="17" spans="2:14" ht="16" x14ac:dyDescent="0.35">
      <c r="B17" s="400"/>
      <c r="C17" s="352" t="s">
        <v>150</v>
      </c>
      <c r="D17" s="46">
        <v>1396</v>
      </c>
      <c r="E17" s="18">
        <v>1236.1300000000001</v>
      </c>
      <c r="F17" s="29">
        <v>1356.5405000000001</v>
      </c>
      <c r="G17" s="39">
        <v>1277.716255</v>
      </c>
      <c r="H17" s="37">
        <v>1025.55</v>
      </c>
      <c r="I17" s="333">
        <v>654.34</v>
      </c>
      <c r="K17" s="17"/>
      <c r="L17" s="17"/>
      <c r="M17" s="17"/>
      <c r="N17" s="17"/>
    </row>
    <row r="18" spans="2:14" ht="16.5" thickBot="1" x14ac:dyDescent="0.4">
      <c r="B18" s="401"/>
      <c r="C18" s="352" t="s">
        <v>164</v>
      </c>
      <c r="D18" s="42">
        <v>4250</v>
      </c>
      <c r="E18" s="19">
        <f>(E17*1000)/E16</f>
        <v>3210.0602472213568</v>
      </c>
      <c r="F18" s="24">
        <f>(F17*1000)/F16</f>
        <v>3541.6962560701791</v>
      </c>
      <c r="G18" s="34">
        <f>(G17*1000)/G16</f>
        <v>3135.6186733142604</v>
      </c>
      <c r="H18" s="24">
        <f>(H17*1000)/H16</f>
        <v>4429.8302449138264</v>
      </c>
      <c r="I18" s="332">
        <v>2562</v>
      </c>
      <c r="K18" s="17"/>
      <c r="L18" s="17"/>
      <c r="M18" s="17"/>
      <c r="N18" s="17"/>
    </row>
    <row r="19" spans="2:14" ht="16" x14ac:dyDescent="0.35">
      <c r="B19" s="399" t="s">
        <v>168</v>
      </c>
      <c r="C19" s="352" t="s">
        <v>163</v>
      </c>
      <c r="D19" s="41">
        <v>227</v>
      </c>
      <c r="E19" s="18">
        <v>151.19999999999999</v>
      </c>
      <c r="F19" s="30">
        <v>125.59000000000002</v>
      </c>
      <c r="G19" s="38">
        <v>108.22562579999999</v>
      </c>
      <c r="H19" s="36">
        <v>87.6</v>
      </c>
      <c r="I19" s="329">
        <v>92.5</v>
      </c>
      <c r="K19" s="17"/>
      <c r="L19" s="17"/>
      <c r="M19" s="17"/>
      <c r="N19" s="17"/>
    </row>
    <row r="20" spans="2:14" ht="16" x14ac:dyDescent="0.35">
      <c r="B20" s="400"/>
      <c r="C20" s="352" t="s">
        <v>150</v>
      </c>
      <c r="D20" s="35">
        <v>343</v>
      </c>
      <c r="E20" s="18">
        <v>128.49</v>
      </c>
      <c r="F20" s="31">
        <v>90.508049999999983</v>
      </c>
      <c r="G20" s="38">
        <v>93.962357999999981</v>
      </c>
      <c r="H20" s="36">
        <v>166.65</v>
      </c>
      <c r="I20" s="327">
        <v>110.21</v>
      </c>
      <c r="K20" s="17"/>
      <c r="L20" s="17"/>
      <c r="M20" s="17"/>
      <c r="N20" s="17"/>
    </row>
    <row r="21" spans="2:14" ht="16.5" thickBot="1" x14ac:dyDescent="0.4">
      <c r="B21" s="401"/>
      <c r="C21" s="352" t="s">
        <v>164</v>
      </c>
      <c r="D21" s="41">
        <v>1515</v>
      </c>
      <c r="E21" s="19">
        <f>(E20*1000)/E19</f>
        <v>849.80158730158746</v>
      </c>
      <c r="F21" s="21">
        <f>(F20*1000)/F19</f>
        <v>720.66287124771065</v>
      </c>
      <c r="G21" s="21">
        <f>(G20*1000)/G19</f>
        <v>868.20803580883512</v>
      </c>
      <c r="H21" s="21">
        <f>(H20*1000)/H19</f>
        <v>1902.3972602739727</v>
      </c>
      <c r="I21" s="329">
        <v>1191</v>
      </c>
      <c r="K21" s="17"/>
      <c r="L21" s="17"/>
      <c r="M21" s="17"/>
      <c r="N21" s="17"/>
    </row>
    <row r="22" spans="2:14" ht="16" x14ac:dyDescent="0.35">
      <c r="B22" s="399" t="s">
        <v>169</v>
      </c>
      <c r="C22" s="352" t="s">
        <v>163</v>
      </c>
      <c r="D22" s="41">
        <v>171</v>
      </c>
      <c r="E22" s="18">
        <v>71.52</v>
      </c>
      <c r="F22" s="30">
        <v>64.64</v>
      </c>
      <c r="G22" s="38">
        <v>82.767540999999994</v>
      </c>
      <c r="H22" s="36">
        <v>30.74</v>
      </c>
      <c r="I22" s="329">
        <v>37.130000000000003</v>
      </c>
      <c r="K22" s="17"/>
      <c r="L22" s="17"/>
      <c r="M22" s="17"/>
      <c r="N22" s="17"/>
    </row>
    <row r="23" spans="2:14" ht="16" x14ac:dyDescent="0.35">
      <c r="B23" s="400"/>
      <c r="C23" s="352" t="s">
        <v>150</v>
      </c>
      <c r="D23" s="47">
        <v>546</v>
      </c>
      <c r="E23" s="18">
        <v>110.88</v>
      </c>
      <c r="F23" s="31">
        <v>102.92660999999998</v>
      </c>
      <c r="G23" s="38">
        <v>145.93069300000002</v>
      </c>
      <c r="H23" s="36">
        <v>99.38</v>
      </c>
      <c r="I23" s="342">
        <v>67.25</v>
      </c>
      <c r="K23" s="17"/>
      <c r="L23" s="17"/>
      <c r="M23" s="17"/>
      <c r="N23" s="17"/>
    </row>
    <row r="24" spans="2:14" ht="16.5" thickBot="1" x14ac:dyDescent="0.4">
      <c r="B24" s="401"/>
      <c r="C24" s="352" t="s">
        <v>164</v>
      </c>
      <c r="D24" s="45">
        <v>3201</v>
      </c>
      <c r="E24" s="19">
        <f>(E23*1000)/E22</f>
        <v>1550.3355704697988</v>
      </c>
      <c r="F24" s="20">
        <f>(F23*1000)/F22</f>
        <v>1592.3052289603959</v>
      </c>
      <c r="G24" s="20">
        <f>(G23*1000)/G22</f>
        <v>1763.1391634553943</v>
      </c>
      <c r="H24" s="20">
        <f>(H23*1000)/H22</f>
        <v>3232.9212752114508</v>
      </c>
      <c r="I24" s="328">
        <v>1804</v>
      </c>
      <c r="K24" s="17"/>
      <c r="L24" s="17"/>
      <c r="M24" s="17"/>
      <c r="N24" s="17"/>
    </row>
    <row r="25" spans="2:14" ht="16" x14ac:dyDescent="0.35">
      <c r="B25" s="399" t="s">
        <v>170</v>
      </c>
      <c r="C25" s="352" t="s">
        <v>163</v>
      </c>
      <c r="D25" s="41">
        <v>25</v>
      </c>
      <c r="E25" s="18">
        <v>19.600000000000001</v>
      </c>
      <c r="F25" s="30">
        <v>24.32</v>
      </c>
      <c r="G25" s="38">
        <v>38.300856000000003</v>
      </c>
      <c r="H25" s="36">
        <v>16.2</v>
      </c>
      <c r="I25" s="329">
        <v>20.13</v>
      </c>
      <c r="K25" s="17"/>
      <c r="L25" s="17"/>
      <c r="M25" s="17"/>
      <c r="N25" s="17"/>
    </row>
    <row r="26" spans="2:14" ht="16" x14ac:dyDescent="0.35">
      <c r="B26" s="400"/>
      <c r="C26" s="352" t="s">
        <v>150</v>
      </c>
      <c r="D26" s="35">
        <v>31</v>
      </c>
      <c r="E26" s="18">
        <v>28.41</v>
      </c>
      <c r="F26" s="31">
        <v>21.190170000000002</v>
      </c>
      <c r="G26" s="38">
        <v>35.416867999999994</v>
      </c>
      <c r="H26" s="36">
        <v>28.2</v>
      </c>
      <c r="I26" s="327">
        <v>29.21</v>
      </c>
      <c r="K26" s="17"/>
      <c r="L26" s="17"/>
      <c r="M26" s="17"/>
      <c r="N26" s="17"/>
    </row>
    <row r="27" spans="2:14" ht="16.5" thickBot="1" x14ac:dyDescent="0.4">
      <c r="B27" s="401"/>
      <c r="C27" s="352" t="s">
        <v>164</v>
      </c>
      <c r="D27" s="45">
        <v>1266</v>
      </c>
      <c r="E27" s="19">
        <f>(E26*1000)/E25</f>
        <v>1449.4897959183672</v>
      </c>
      <c r="F27" s="21">
        <f>(F26*1000)/F25</f>
        <v>871.3063322368422</v>
      </c>
      <c r="G27" s="20">
        <f>(G26*1000)/G25</f>
        <v>924.7017351257108</v>
      </c>
      <c r="H27" s="20">
        <f>(H26*1000)/H25</f>
        <v>1740.7407407407409</v>
      </c>
      <c r="I27" s="328">
        <v>1456</v>
      </c>
      <c r="K27" s="17"/>
      <c r="L27" s="17"/>
      <c r="M27" s="17"/>
      <c r="N27" s="17"/>
    </row>
    <row r="28" spans="2:14" ht="16" x14ac:dyDescent="0.35">
      <c r="B28" s="399" t="s">
        <v>171</v>
      </c>
      <c r="C28" s="402" t="s">
        <v>150</v>
      </c>
      <c r="D28" s="398">
        <v>121</v>
      </c>
      <c r="E28" s="409">
        <v>84.69</v>
      </c>
      <c r="F28" s="410">
        <v>108.4919</v>
      </c>
      <c r="G28" s="407">
        <v>153.517303</v>
      </c>
      <c r="H28" s="407">
        <v>74.37</v>
      </c>
      <c r="I28" s="408">
        <v>48.6</v>
      </c>
      <c r="K28" s="17"/>
      <c r="L28" s="17"/>
      <c r="M28" s="17"/>
      <c r="N28" s="17"/>
    </row>
    <row r="29" spans="2:14" ht="25" customHeight="1" thickBot="1" x14ac:dyDescent="0.4">
      <c r="B29" s="401"/>
      <c r="C29" s="402"/>
      <c r="D29" s="398"/>
      <c r="E29" s="409"/>
      <c r="F29" s="410"/>
      <c r="G29" s="407"/>
      <c r="H29" s="407"/>
      <c r="I29" s="408"/>
    </row>
    <row r="30" spans="2:14" ht="16" x14ac:dyDescent="0.35">
      <c r="B30" s="399" t="s">
        <v>172</v>
      </c>
      <c r="C30" s="351" t="s">
        <v>163</v>
      </c>
      <c r="D30" s="343">
        <v>217</v>
      </c>
      <c r="E30" s="344">
        <v>87.86</v>
      </c>
      <c r="F30" s="345">
        <v>89.960000000000008</v>
      </c>
      <c r="G30" s="346">
        <v>114.746815</v>
      </c>
      <c r="H30" s="347">
        <v>43.98</v>
      </c>
      <c r="I30" s="355">
        <v>48.55</v>
      </c>
      <c r="K30" s="17"/>
      <c r="L30" s="17"/>
      <c r="M30" s="17"/>
      <c r="N30" s="17"/>
    </row>
    <row r="31" spans="2:14" ht="16" x14ac:dyDescent="0.35">
      <c r="B31" s="400"/>
      <c r="C31" s="352" t="s">
        <v>150</v>
      </c>
      <c r="D31" s="35">
        <v>403</v>
      </c>
      <c r="E31" s="18">
        <v>204.44</v>
      </c>
      <c r="F31" s="29">
        <v>271.54626999999999</v>
      </c>
      <c r="G31" s="38">
        <v>215.47753999999995</v>
      </c>
      <c r="H31" s="36">
        <v>121.76</v>
      </c>
      <c r="I31" s="327">
        <v>77.14</v>
      </c>
      <c r="K31" s="17"/>
      <c r="L31" s="17"/>
      <c r="M31" s="17"/>
      <c r="N31" s="17"/>
    </row>
    <row r="32" spans="2:14" ht="16.5" thickBot="1" x14ac:dyDescent="0.4">
      <c r="B32" s="401"/>
      <c r="C32" s="352" t="s">
        <v>164</v>
      </c>
      <c r="D32" s="45">
        <v>1860</v>
      </c>
      <c r="E32" s="19">
        <f>(E31*1000)/E30</f>
        <v>2326.8836785795584</v>
      </c>
      <c r="F32" s="20">
        <f>(F31*1000)/F30</f>
        <v>3018.5223432636726</v>
      </c>
      <c r="G32" s="20">
        <f>(G31*1000)/G30</f>
        <v>1877.8520344987348</v>
      </c>
      <c r="H32" s="20">
        <f>(H31*1000)/H30</f>
        <v>2768.5311505229652</v>
      </c>
      <c r="I32" s="328">
        <v>1588</v>
      </c>
      <c r="K32" s="17"/>
      <c r="L32" s="17"/>
      <c r="M32" s="17"/>
      <c r="N32" s="17"/>
    </row>
    <row r="33" spans="2:14" ht="16" x14ac:dyDescent="0.35">
      <c r="B33" s="399" t="s">
        <v>173</v>
      </c>
      <c r="C33" s="352" t="s">
        <v>163</v>
      </c>
      <c r="D33" s="41" t="s">
        <v>20</v>
      </c>
      <c r="E33" s="18">
        <v>47.61</v>
      </c>
      <c r="F33" s="29">
        <v>8.14</v>
      </c>
      <c r="G33" s="38">
        <v>30.4792652</v>
      </c>
      <c r="H33" s="36">
        <v>23.28</v>
      </c>
      <c r="I33" s="329">
        <v>13.19</v>
      </c>
      <c r="K33" s="17"/>
      <c r="L33" s="17"/>
      <c r="M33" s="17"/>
      <c r="N33" s="17"/>
    </row>
    <row r="34" spans="2:14" ht="16" x14ac:dyDescent="0.35">
      <c r="B34" s="400"/>
      <c r="C34" s="352" t="s">
        <v>150</v>
      </c>
      <c r="D34" s="48" t="s">
        <v>20</v>
      </c>
      <c r="E34" s="18">
        <v>169.3</v>
      </c>
      <c r="F34" s="29">
        <v>102.90670999999999</v>
      </c>
      <c r="G34" s="38">
        <v>164.46290500000001</v>
      </c>
      <c r="H34" s="36">
        <v>69.98</v>
      </c>
      <c r="I34" s="330">
        <v>69.69</v>
      </c>
      <c r="K34" s="17"/>
      <c r="L34" s="17"/>
      <c r="M34" s="17"/>
      <c r="N34" s="17"/>
    </row>
    <row r="35" spans="2:14" ht="16.5" thickBot="1" x14ac:dyDescent="0.4">
      <c r="B35" s="401"/>
      <c r="C35" s="352" t="s">
        <v>164</v>
      </c>
      <c r="D35" s="41" t="s">
        <v>20</v>
      </c>
      <c r="E35" s="19">
        <f>(E34*1000)/E33</f>
        <v>3555.9756353707203</v>
      </c>
      <c r="F35" s="21">
        <f>(F34*1000)/F33</f>
        <v>12642.101965601963</v>
      </c>
      <c r="G35" s="21">
        <f>(G34*1000)/G33</f>
        <v>5395.8946818704799</v>
      </c>
      <c r="H35" s="25">
        <f>(H34*1000)/H33</f>
        <v>3006.0137457044671</v>
      </c>
      <c r="I35" s="329">
        <v>5284</v>
      </c>
      <c r="K35" s="17"/>
      <c r="L35" s="17"/>
      <c r="M35" s="17"/>
      <c r="N35" s="17"/>
    </row>
    <row r="36" spans="2:14" ht="27.5" customHeight="1" thickBot="1" x14ac:dyDescent="0.4">
      <c r="B36" s="353" t="s">
        <v>178</v>
      </c>
      <c r="C36" s="352" t="s">
        <v>150</v>
      </c>
      <c r="D36" s="49" t="s">
        <v>197</v>
      </c>
      <c r="E36" s="18">
        <v>359.08</v>
      </c>
      <c r="F36" s="29">
        <v>434.27115000000003</v>
      </c>
      <c r="G36" s="38">
        <v>533.91110493000008</v>
      </c>
      <c r="H36" s="22">
        <v>361.3</v>
      </c>
      <c r="I36" s="331">
        <v>582.12</v>
      </c>
      <c r="K36" s="17"/>
      <c r="L36" s="17"/>
      <c r="M36" s="17"/>
      <c r="N36" s="17"/>
    </row>
    <row r="37" spans="2:14" ht="16" x14ac:dyDescent="0.35">
      <c r="B37" s="399" t="s">
        <v>174</v>
      </c>
      <c r="C37" s="352" t="s">
        <v>163</v>
      </c>
      <c r="D37" s="28">
        <v>143</v>
      </c>
      <c r="E37" s="18">
        <v>251.34</v>
      </c>
      <c r="F37" s="29">
        <v>106.74000000000001</v>
      </c>
      <c r="G37" s="38">
        <v>93.435122000000007</v>
      </c>
      <c r="H37" s="36">
        <v>50.55</v>
      </c>
      <c r="I37" s="332">
        <v>56.39</v>
      </c>
      <c r="K37" s="17"/>
      <c r="L37" s="17"/>
      <c r="M37" s="17"/>
      <c r="N37" s="17"/>
    </row>
    <row r="38" spans="2:14" ht="16" x14ac:dyDescent="0.35">
      <c r="B38" s="400"/>
      <c r="C38" s="352" t="s">
        <v>150</v>
      </c>
      <c r="D38" s="32">
        <v>86</v>
      </c>
      <c r="E38" s="18">
        <v>108.24</v>
      </c>
      <c r="F38" s="29">
        <v>88.610009999999988</v>
      </c>
      <c r="G38" s="38">
        <v>87.944511999999989</v>
      </c>
      <c r="H38" s="36">
        <v>71.180000000000007</v>
      </c>
      <c r="I38" s="333">
        <v>56.27</v>
      </c>
      <c r="K38" s="17"/>
      <c r="L38" s="17"/>
      <c r="M38" s="17"/>
      <c r="N38" s="17"/>
    </row>
    <row r="39" spans="2:14" ht="16.5" thickBot="1" x14ac:dyDescent="0.4">
      <c r="B39" s="401"/>
      <c r="C39" s="352" t="s">
        <v>164</v>
      </c>
      <c r="D39" s="33">
        <v>605</v>
      </c>
      <c r="E39" s="19">
        <f>(E38*1000)/E37</f>
        <v>430.65170685127714</v>
      </c>
      <c r="F39" s="21">
        <f>(F38*1000)/F37</f>
        <v>830.14811691961768</v>
      </c>
      <c r="G39" s="21">
        <f>(G38*1000)/G37</f>
        <v>941.236123178605</v>
      </c>
      <c r="H39" s="21">
        <f>(H38*1000)/H37</f>
        <v>1408.1107814045499</v>
      </c>
      <c r="I39" s="329">
        <v>998</v>
      </c>
      <c r="K39" s="17"/>
      <c r="L39" s="17"/>
      <c r="M39" s="17"/>
      <c r="N39" s="17"/>
    </row>
    <row r="40" spans="2:14" ht="16" x14ac:dyDescent="0.35">
      <c r="B40" s="399" t="s">
        <v>175</v>
      </c>
      <c r="C40" s="352" t="s">
        <v>163</v>
      </c>
      <c r="D40" s="28">
        <v>54</v>
      </c>
      <c r="E40" s="18">
        <v>32.630000000000003</v>
      </c>
      <c r="F40" s="29">
        <v>19.060000000000002</v>
      </c>
      <c r="G40" s="38">
        <v>41.461276400000003</v>
      </c>
      <c r="H40" s="36">
        <v>23.06</v>
      </c>
      <c r="I40" s="332">
        <v>25.23</v>
      </c>
      <c r="K40" s="17"/>
      <c r="L40" s="17"/>
      <c r="M40" s="17"/>
      <c r="N40" s="17"/>
    </row>
    <row r="41" spans="2:14" ht="16" x14ac:dyDescent="0.35">
      <c r="B41" s="400"/>
      <c r="C41" s="352" t="s">
        <v>150</v>
      </c>
      <c r="D41" s="28">
        <v>13</v>
      </c>
      <c r="E41" s="18">
        <v>5.12</v>
      </c>
      <c r="F41" s="29">
        <v>3.31955</v>
      </c>
      <c r="G41" s="38">
        <v>11.03304677</v>
      </c>
      <c r="H41" s="36">
        <v>7.76</v>
      </c>
      <c r="I41" s="332">
        <v>6.64</v>
      </c>
      <c r="K41" s="17"/>
      <c r="L41" s="17"/>
      <c r="M41" s="17"/>
      <c r="N41" s="17"/>
    </row>
    <row r="42" spans="2:14" ht="16.5" thickBot="1" x14ac:dyDescent="0.4">
      <c r="B42" s="401"/>
      <c r="C42" s="352" t="s">
        <v>164</v>
      </c>
      <c r="D42" s="28">
        <v>241</v>
      </c>
      <c r="E42" s="19">
        <f>(E41*1000)/E40</f>
        <v>156.91081826539994</v>
      </c>
      <c r="F42" s="24">
        <f>(F41*1000)/F40</f>
        <v>174.16316894018885</v>
      </c>
      <c r="G42" s="24">
        <f>(G41*1000)/G40</f>
        <v>266.10485079036306</v>
      </c>
      <c r="H42" s="24">
        <f>(H41*1000)/H40</f>
        <v>336.5134431916739</v>
      </c>
      <c r="I42" s="332">
        <v>263</v>
      </c>
      <c r="K42" s="17"/>
      <c r="L42" s="17"/>
      <c r="M42" s="17"/>
      <c r="N42" s="17"/>
    </row>
    <row r="43" spans="2:14" ht="16" x14ac:dyDescent="0.35">
      <c r="B43" s="399" t="s">
        <v>176</v>
      </c>
      <c r="C43" s="352" t="s">
        <v>163</v>
      </c>
      <c r="D43" s="33" t="s">
        <v>20</v>
      </c>
      <c r="E43" s="18">
        <v>106.44</v>
      </c>
      <c r="F43" s="29">
        <v>128.82000000000002</v>
      </c>
      <c r="G43" s="38">
        <v>91.1089731</v>
      </c>
      <c r="H43" s="36">
        <v>54.63</v>
      </c>
      <c r="I43" s="329">
        <v>70.569999999999993</v>
      </c>
      <c r="K43" s="17"/>
      <c r="L43" s="17"/>
      <c r="M43" s="17"/>
      <c r="N43" s="17"/>
    </row>
    <row r="44" spans="2:14" ht="16" x14ac:dyDescent="0.35">
      <c r="B44" s="400"/>
      <c r="C44" s="352" t="s">
        <v>150</v>
      </c>
      <c r="D44" s="33" t="s">
        <v>20</v>
      </c>
      <c r="E44" s="18">
        <v>26.94</v>
      </c>
      <c r="F44" s="29">
        <v>38.974340000000005</v>
      </c>
      <c r="G44" s="38">
        <v>30.577369400000002</v>
      </c>
      <c r="H44" s="36">
        <v>25.47</v>
      </c>
      <c r="I44" s="329">
        <v>28.33</v>
      </c>
      <c r="K44" s="17"/>
      <c r="L44" s="17"/>
      <c r="M44" s="17"/>
      <c r="N44" s="17"/>
    </row>
    <row r="45" spans="2:14" ht="16.5" thickBot="1" x14ac:dyDescent="0.4">
      <c r="B45" s="401"/>
      <c r="C45" s="354" t="s">
        <v>164</v>
      </c>
      <c r="D45" s="334" t="s">
        <v>196</v>
      </c>
      <c r="E45" s="335">
        <f>(E44*1000)/E43</f>
        <v>253.10033821871477</v>
      </c>
      <c r="F45" s="336">
        <f>(F44*1000)/F43</f>
        <v>302.54882782176679</v>
      </c>
      <c r="G45" s="336">
        <f>(G44*1000)/G43</f>
        <v>335.61314939241703</v>
      </c>
      <c r="H45" s="336">
        <f>(H44*1000)/H43</f>
        <v>466.22734761120262</v>
      </c>
      <c r="I45" s="337">
        <v>401</v>
      </c>
      <c r="K45" s="17"/>
      <c r="L45" s="17"/>
      <c r="M45" s="17"/>
      <c r="N45" s="17"/>
    </row>
    <row r="46" spans="2:14" ht="22.5" customHeight="1" x14ac:dyDescent="0.35">
      <c r="B46" s="406" t="s">
        <v>161</v>
      </c>
      <c r="C46" s="406"/>
      <c r="D46" s="406"/>
      <c r="E46" s="406"/>
      <c r="F46" s="16"/>
      <c r="G46" s="17"/>
      <c r="H46" s="17"/>
      <c r="I46" s="17"/>
      <c r="J46" s="17"/>
      <c r="K46" s="17"/>
      <c r="L46" s="17"/>
      <c r="M46" s="17"/>
      <c r="N46" s="17"/>
    </row>
    <row r="47" spans="2:14" ht="15.5" x14ac:dyDescent="0.35">
      <c r="B47" s="405" t="s">
        <v>309</v>
      </c>
      <c r="C47" s="405"/>
      <c r="D47" s="405"/>
      <c r="E47" s="405"/>
    </row>
  </sheetData>
  <mergeCells count="25">
    <mergeCell ref="B47:E47"/>
    <mergeCell ref="B46:E46"/>
    <mergeCell ref="H28:H29"/>
    <mergeCell ref="I28:I29"/>
    <mergeCell ref="B10:B12"/>
    <mergeCell ref="B13:B15"/>
    <mergeCell ref="E28:E29"/>
    <mergeCell ref="F28:F29"/>
    <mergeCell ref="G28:G29"/>
    <mergeCell ref="B1:G1"/>
    <mergeCell ref="D28:D29"/>
    <mergeCell ref="B37:B39"/>
    <mergeCell ref="B40:B42"/>
    <mergeCell ref="B43:B45"/>
    <mergeCell ref="B19:B21"/>
    <mergeCell ref="B22:B24"/>
    <mergeCell ref="B25:B27"/>
    <mergeCell ref="B28:B29"/>
    <mergeCell ref="B30:B32"/>
    <mergeCell ref="B33:B35"/>
    <mergeCell ref="C28:C29"/>
    <mergeCell ref="B16:B18"/>
    <mergeCell ref="B3:C3"/>
    <mergeCell ref="B4:B6"/>
    <mergeCell ref="B7:B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5.1</vt:lpstr>
      <vt:lpstr>Table 5.2</vt:lpstr>
      <vt:lpstr>Table 5.3</vt:lpstr>
      <vt:lpstr>Table 5.4</vt:lpstr>
      <vt:lpstr>Table 5.5</vt:lpstr>
      <vt:lpstr>Table 5.6</vt:lpstr>
      <vt:lpstr>Table 5.7</vt:lpstr>
      <vt:lpstr>Table 5.8</vt:lpstr>
      <vt:lpstr>Table 5.9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2023-11-10T06:32:19Z</cp:lastPrinted>
  <dcterms:created xsi:type="dcterms:W3CDTF">2015-06-05T18:17:20Z</dcterms:created>
  <dcterms:modified xsi:type="dcterms:W3CDTF">2023-11-10T08:09:54Z</dcterms:modified>
</cp:coreProperties>
</file>